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1 ค่าคอมมิชชั่นขาย\01 ตั้งเบิก Sales Commission\ปี2568\รอบ 06-2568\"/>
    </mc:Choice>
  </mc:AlternateContent>
  <xr:revisionPtr revIDLastSave="0" documentId="8_{0A497789-E819-48BD-BD0B-26B3EDD03271}" xr6:coauthVersionLast="47" xr6:coauthVersionMax="47" xr10:uidLastSave="{00000000-0000-0000-0000-000000000000}"/>
  <bookViews>
    <workbookView xWindow="-108" yWindow="-108" windowWidth="23256" windowHeight="12456" activeTab="1" xr2:uid="{195A0F0A-E35C-4AD4-8EE8-0CFEA0DC919D}"/>
  </bookViews>
  <sheets>
    <sheet name="Ref" sheetId="6" r:id="rId1"/>
    <sheet name="ตั้งเบิกคอมฯ  CN" sheetId="1" r:id="rId2"/>
    <sheet name="สรุปยอดเบิก CN" sheetId="5" r:id="rId3"/>
    <sheet name="คอมฯ CBN" sheetId="2" state="hidden" r:id="rId4"/>
    <sheet name="สรุปยอดเบิก CBN" sheetId="3" state="hidden" r:id="rId5"/>
  </sheets>
  <definedNames>
    <definedName name="_xlnm._FilterDatabase" localSheetId="3" hidden="1">'คอมฯ CBN'!#REF!</definedName>
    <definedName name="_xlnm._FilterDatabase" localSheetId="1" hidden="1">'ตั้งเบิกคอมฯ  CN'!#REF!</definedName>
    <definedName name="_xlnm.Print_Area" localSheetId="3">'คอมฯ CBN'!$A$1:$U$30</definedName>
    <definedName name="_xlnm.Print_Area" localSheetId="1">'ตั้งเบิกคอมฯ  CN'!$A$1:$AM$70</definedName>
    <definedName name="_xlnm.Print_Area" localSheetId="4">'สรุปยอดเบิก CBN'!$A$1:$M$58</definedName>
    <definedName name="_xlnm.Print_Area" localSheetId="2">'สรุปยอดเบิก CN'!$A$1:$L$63</definedName>
    <definedName name="_xlnm.Print_Titles" localSheetId="3">'คอมฯ CBN'!$5:$5</definedName>
    <definedName name="_xlnm.Print_Titles" localSheetId="1">'ตั้งเบิกคอมฯ  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Q7" i="1" s="1"/>
  <c r="M7" i="1"/>
  <c r="J7" i="1"/>
  <c r="P7" i="1" l="1"/>
  <c r="S67" i="1" l="1"/>
  <c r="T67" i="1"/>
  <c r="U67" i="1"/>
  <c r="E19" i="5"/>
  <c r="E21" i="5"/>
  <c r="E22" i="5"/>
  <c r="F16" i="5" l="1"/>
  <c r="M11" i="1" l="1"/>
  <c r="X45" i="1"/>
  <c r="Y45" i="1" s="1"/>
  <c r="G12" i="5"/>
  <c r="G8" i="5"/>
  <c r="G5" i="5"/>
  <c r="N7" i="1" l="1"/>
  <c r="AA45" i="1"/>
  <c r="AA46" i="1" s="1"/>
  <c r="X24" i="1"/>
  <c r="AC45" i="1" l="1"/>
  <c r="AB45" i="1"/>
  <c r="AD45" i="1" s="1"/>
  <c r="AJ45" i="1" s="1"/>
  <c r="AG43" i="1"/>
  <c r="AH43" i="1" s="1"/>
  <c r="AI43" i="1" s="1"/>
  <c r="X43" i="1"/>
  <c r="M43" i="1"/>
  <c r="N43" i="1" s="1"/>
  <c r="O43" i="1" s="1"/>
  <c r="AG39" i="1"/>
  <c r="AH39" i="1" s="1"/>
  <c r="AI39" i="1" s="1"/>
  <c r="X39" i="1"/>
  <c r="Y39" i="1" s="1"/>
  <c r="AA39" i="1" s="1"/>
  <c r="M39" i="1"/>
  <c r="N39" i="1" s="1"/>
  <c r="Y43" i="1" l="1"/>
  <c r="AA43" i="1" s="1"/>
  <c r="AA44" i="1" s="1"/>
  <c r="O39" i="1"/>
  <c r="AC39" i="1"/>
  <c r="AB39" i="1"/>
  <c r="AD39" i="1" s="1"/>
  <c r="AA40" i="1"/>
  <c r="P19" i="1"/>
  <c r="AG19" i="1"/>
  <c r="AH19" i="1" s="1"/>
  <c r="AI19" i="1" s="1"/>
  <c r="X19" i="1"/>
  <c r="Y19" i="1" s="1"/>
  <c r="AA19" i="1" s="1"/>
  <c r="M19" i="1"/>
  <c r="N19" i="1" s="1"/>
  <c r="O19" i="1" s="1"/>
  <c r="Q19" i="1" s="1"/>
  <c r="P27" i="1"/>
  <c r="P23" i="1"/>
  <c r="AG27" i="1"/>
  <c r="AH27" i="1" s="1"/>
  <c r="AI27" i="1" s="1"/>
  <c r="X27" i="1"/>
  <c r="Y27" i="1" s="1"/>
  <c r="AA27" i="1" s="1"/>
  <c r="M27" i="1"/>
  <c r="N27" i="1" s="1"/>
  <c r="O27" i="1" s="1"/>
  <c r="AG23" i="1"/>
  <c r="AH23" i="1" s="1"/>
  <c r="AI23" i="1" s="1"/>
  <c r="X23" i="1"/>
  <c r="Y23" i="1" s="1"/>
  <c r="M23" i="1"/>
  <c r="N23" i="1" s="1"/>
  <c r="O23" i="1" s="1"/>
  <c r="Q23" i="1" s="1"/>
  <c r="P15" i="1"/>
  <c r="R23" i="1" l="1"/>
  <c r="AC43" i="1"/>
  <c r="AJ39" i="1"/>
  <c r="AB43" i="1"/>
  <c r="AC19" i="1"/>
  <c r="AB19" i="1"/>
  <c r="AA20" i="1"/>
  <c r="AA23" i="1"/>
  <c r="AA24" i="1" s="1"/>
  <c r="AA28" i="1"/>
  <c r="AB27" i="1"/>
  <c r="AC27" i="1"/>
  <c r="AD43" i="1" l="1"/>
  <c r="AJ43" i="1" s="1"/>
  <c r="AB23" i="1"/>
  <c r="AD19" i="1"/>
  <c r="AJ19" i="1" s="1"/>
  <c r="AC23" i="1"/>
  <c r="AD27" i="1"/>
  <c r="AJ27" i="1" s="1"/>
  <c r="AD23" i="1" l="1"/>
  <c r="AJ23" i="1" s="1"/>
  <c r="AG15" i="1" l="1"/>
  <c r="AH15" i="1" s="1"/>
  <c r="AI15" i="1" s="1"/>
  <c r="X15" i="1"/>
  <c r="Y15" i="1" s="1"/>
  <c r="AA15" i="1" s="1"/>
  <c r="M15" i="1"/>
  <c r="AG11" i="1"/>
  <c r="AH11" i="1" s="1"/>
  <c r="AI11" i="1" s="1"/>
  <c r="X11" i="1"/>
  <c r="Y11" i="1" s="1"/>
  <c r="N11" i="1"/>
  <c r="AG31" i="1"/>
  <c r="AH31" i="1" s="1"/>
  <c r="AI31" i="1" s="1"/>
  <c r="X31" i="1"/>
  <c r="Y31" i="1" s="1"/>
  <c r="AA31" i="1" s="1"/>
  <c r="M31" i="1"/>
  <c r="N31" i="1" s="1"/>
  <c r="O31" i="1" s="1"/>
  <c r="AG35" i="1"/>
  <c r="AH35" i="1" s="1"/>
  <c r="AG47" i="1"/>
  <c r="AH47" i="1" s="1"/>
  <c r="AG51" i="1"/>
  <c r="AH51" i="1" s="1"/>
  <c r="AG55" i="1"/>
  <c r="AH55" i="1" s="1"/>
  <c r="AG59" i="1"/>
  <c r="AH59" i="1" s="1"/>
  <c r="AG63" i="1"/>
  <c r="AH63" i="1" s="1"/>
  <c r="AG7" i="1"/>
  <c r="AH7" i="1" s="1"/>
  <c r="AI7" i="1" s="1"/>
  <c r="X7" i="1"/>
  <c r="Y7" i="1" s="1"/>
  <c r="X35" i="1"/>
  <c r="Y35" i="1" s="1"/>
  <c r="AA35" i="1" s="1"/>
  <c r="AB35" i="1" s="1"/>
  <c r="X47" i="1"/>
  <c r="Y47" i="1" s="1"/>
  <c r="X51" i="1"/>
  <c r="Y51" i="1" s="1"/>
  <c r="X55" i="1"/>
  <c r="Y55" i="1" s="1"/>
  <c r="X59" i="1"/>
  <c r="Y59" i="1" s="1"/>
  <c r="X63" i="1"/>
  <c r="Y63" i="1" s="1"/>
  <c r="P55" i="1"/>
  <c r="O11" i="1" l="1"/>
  <c r="Q11" i="1" s="1"/>
  <c r="N15" i="1"/>
  <c r="O15" i="1" s="1"/>
  <c r="Q15" i="1" s="1"/>
  <c r="R67" i="1"/>
  <c r="Q67" i="1"/>
  <c r="Y67" i="1"/>
  <c r="AA11" i="1"/>
  <c r="AB11" i="1" s="1"/>
  <c r="AA16" i="1"/>
  <c r="AC15" i="1"/>
  <c r="AB15" i="1"/>
  <c r="AA32" i="1"/>
  <c r="AC31" i="1"/>
  <c r="AB31" i="1"/>
  <c r="AC35" i="1"/>
  <c r="AD35" i="1" s="1"/>
  <c r="AC11" i="1" l="1"/>
  <c r="AD11" i="1" s="1"/>
  <c r="AA12" i="1"/>
  <c r="AD15" i="1"/>
  <c r="AJ15" i="1" s="1"/>
  <c r="AD31" i="1"/>
  <c r="AJ31" i="1" s="1"/>
  <c r="N14" i="5"/>
  <c r="M14" i="5"/>
  <c r="M5" i="5"/>
  <c r="AJ11" i="1" l="1"/>
  <c r="AI35" i="1"/>
  <c r="AI47" i="1"/>
  <c r="AI51" i="1"/>
  <c r="AI55" i="1"/>
  <c r="AI59" i="1"/>
  <c r="AI63" i="1"/>
  <c r="Z67" i="1"/>
  <c r="AA7" i="1"/>
  <c r="AA47" i="1"/>
  <c r="AA51" i="1"/>
  <c r="AA55" i="1"/>
  <c r="AA59" i="1"/>
  <c r="AA63" i="1"/>
  <c r="V67" i="1"/>
  <c r="E72" i="1"/>
  <c r="M35" i="1"/>
  <c r="M47" i="1"/>
  <c r="N47" i="1" s="1"/>
  <c r="O47" i="1" s="1"/>
  <c r="M51" i="1"/>
  <c r="N51" i="1" s="1"/>
  <c r="O51" i="1" s="1"/>
  <c r="M55" i="1"/>
  <c r="N55" i="1" s="1"/>
  <c r="O55" i="1" s="1"/>
  <c r="M59" i="1"/>
  <c r="N59" i="1" s="1"/>
  <c r="O59" i="1" s="1"/>
  <c r="P59" i="1"/>
  <c r="M63" i="1"/>
  <c r="N63" i="1" s="1"/>
  <c r="O63" i="1" s="1"/>
  <c r="P63" i="1"/>
  <c r="N35" i="1" l="1"/>
  <c r="N67" i="1" s="1"/>
  <c r="M67" i="1"/>
  <c r="AA67" i="1"/>
  <c r="AB55" i="1"/>
  <c r="AC55" i="1"/>
  <c r="AB63" i="1"/>
  <c r="AC63" i="1"/>
  <c r="AB51" i="1"/>
  <c r="AC51" i="1"/>
  <c r="AB47" i="1"/>
  <c r="AC47" i="1"/>
  <c r="AC59" i="1"/>
  <c r="AB59" i="1"/>
  <c r="AB7" i="1"/>
  <c r="AC7" i="1"/>
  <c r="AI67" i="1"/>
  <c r="AH67" i="1"/>
  <c r="AA60" i="1"/>
  <c r="AA52" i="1"/>
  <c r="AA36" i="1"/>
  <c r="AA64" i="1"/>
  <c r="AA56" i="1"/>
  <c r="X67" i="1"/>
  <c r="AA8" i="1"/>
  <c r="AA48" i="1"/>
  <c r="O35" i="1" l="1"/>
  <c r="O67" i="1"/>
  <c r="AJ35" i="1"/>
  <c r="AD51" i="1"/>
  <c r="AJ51" i="1" s="1"/>
  <c r="AD55" i="1"/>
  <c r="AJ55" i="1" s="1"/>
  <c r="AD63" i="1"/>
  <c r="AJ63" i="1" s="1"/>
  <c r="AD7" i="1"/>
  <c r="AD47" i="1"/>
  <c r="AJ47" i="1" s="1"/>
  <c r="AD59" i="1"/>
  <c r="AJ59" i="1" s="1"/>
  <c r="AC67" i="1"/>
  <c r="F19" i="5" l="1"/>
  <c r="F15" i="5"/>
  <c r="AJ7" i="1"/>
  <c r="AJ67" i="1" s="1"/>
  <c r="AB67" i="1"/>
  <c r="N5" i="5" l="1"/>
  <c r="F33" i="5" l="1"/>
  <c r="F32" i="5"/>
  <c r="F30" i="5"/>
  <c r="F26" i="5"/>
  <c r="F23" i="5"/>
  <c r="F22" i="5"/>
  <c r="F20" i="5"/>
  <c r="E20" i="5"/>
  <c r="E18" i="5"/>
  <c r="E17" i="5"/>
  <c r="E16" i="5"/>
  <c r="E33" i="5" l="1"/>
  <c r="E32" i="5"/>
  <c r="E30" i="5"/>
  <c r="E26" i="5"/>
  <c r="H30" i="5"/>
  <c r="H32" i="5"/>
  <c r="H33" i="5"/>
  <c r="E24" i="5"/>
  <c r="E15" i="5"/>
  <c r="E23" i="5"/>
  <c r="H16" i="5"/>
  <c r="H20" i="5"/>
  <c r="H22" i="5"/>
  <c r="H23" i="5"/>
  <c r="G7" i="5"/>
  <c r="G9" i="5"/>
  <c r="G10" i="5"/>
  <c r="H10" i="5" s="1"/>
  <c r="G11" i="5"/>
  <c r="G13" i="5"/>
  <c r="G14" i="5"/>
  <c r="G82" i="5" l="1"/>
  <c r="E46" i="5" s="1"/>
  <c r="G46" i="5" s="1"/>
  <c r="I46" i="5" s="1"/>
  <c r="H8" i="5"/>
  <c r="H12" i="5"/>
  <c r="G84" i="5" s="1"/>
  <c r="E48" i="5" s="1"/>
  <c r="G48" i="5" s="1"/>
  <c r="I48" i="5" s="1"/>
  <c r="H14" i="5"/>
  <c r="H13" i="5"/>
  <c r="G85" i="5" s="1"/>
  <c r="E49" i="5" s="1"/>
  <c r="G49" i="5" s="1"/>
  <c r="I49" i="5" s="1"/>
  <c r="H11" i="5"/>
  <c r="H9" i="5"/>
  <c r="H7" i="5"/>
  <c r="E27" i="5"/>
  <c r="F31" i="5" l="1"/>
  <c r="H31" i="5" s="1"/>
  <c r="E31" i="5"/>
  <c r="F29" i="5"/>
  <c r="H29" i="5" s="1"/>
  <c r="E29" i="5"/>
  <c r="F28" i="5"/>
  <c r="H28" i="5" s="1"/>
  <c r="E28" i="5"/>
  <c r="F34" i="5"/>
  <c r="H34" i="5" s="1"/>
  <c r="E34" i="5"/>
  <c r="F25" i="5"/>
  <c r="E25" i="5"/>
  <c r="F21" i="5" l="1"/>
  <c r="H21" i="5" s="1"/>
  <c r="G83" i="5" s="1"/>
  <c r="E47" i="5" s="1"/>
  <c r="G47" i="5" s="1"/>
  <c r="I47" i="5" s="1"/>
  <c r="F18" i="5"/>
  <c r="H18" i="5" s="1"/>
  <c r="G80" i="5" s="1"/>
  <c r="E44" i="5" s="1"/>
  <c r="G44" i="5" s="1"/>
  <c r="I44" i="5" s="1"/>
  <c r="F17" i="5"/>
  <c r="H17" i="5" s="1"/>
  <c r="G87" i="5"/>
  <c r="G72" i="3"/>
  <c r="E45" i="3" s="1"/>
  <c r="F30" i="3"/>
  <c r="G30" i="3" s="1"/>
  <c r="E30" i="3"/>
  <c r="F22" i="3"/>
  <c r="F20" i="3"/>
  <c r="F21" i="3"/>
  <c r="G21" i="3" s="1"/>
  <c r="E21" i="3"/>
  <c r="F12" i="3"/>
  <c r="E12" i="3"/>
  <c r="F24" i="5" l="1"/>
  <c r="H24" i="5" s="1"/>
  <c r="G86" i="5" s="1"/>
  <c r="E50" i="5" s="1"/>
  <c r="G50" i="5" s="1"/>
  <c r="I50" i="5" s="1"/>
  <c r="H19" i="5"/>
  <c r="G81" i="5" s="1"/>
  <c r="E45" i="5" s="1"/>
  <c r="G45" i="5" s="1"/>
  <c r="I45" i="5" s="1"/>
  <c r="H30" i="3"/>
  <c r="H21" i="3"/>
  <c r="G12" i="3"/>
  <c r="H12" i="3" s="1"/>
  <c r="Q12" i="2"/>
  <c r="M12" i="2"/>
  <c r="N12" i="2" s="1"/>
  <c r="I12" i="2"/>
  <c r="Q9" i="2"/>
  <c r="M9" i="2"/>
  <c r="L9" i="2"/>
  <c r="N9" i="2" s="1"/>
  <c r="I9" i="2"/>
  <c r="R9" i="2" s="1"/>
  <c r="R12" i="2" l="1"/>
  <c r="I18" i="2" l="1"/>
  <c r="L18" i="2"/>
  <c r="N18" i="2" s="1"/>
  <c r="M18" i="2"/>
  <c r="Q18" i="2"/>
  <c r="I21" i="2"/>
  <c r="L21" i="2"/>
  <c r="M21" i="2"/>
  <c r="Q21" i="2"/>
  <c r="I24" i="2"/>
  <c r="L24" i="2"/>
  <c r="N24" i="2" s="1"/>
  <c r="M24" i="2"/>
  <c r="Q24" i="2"/>
  <c r="I27" i="2"/>
  <c r="L27" i="2"/>
  <c r="N27" i="2" s="1"/>
  <c r="M27" i="2"/>
  <c r="Q27" i="2"/>
  <c r="F27" i="5"/>
  <c r="H27" i="5" s="1"/>
  <c r="G79" i="5" s="1"/>
  <c r="E43" i="5" s="1"/>
  <c r="G43" i="5" s="1"/>
  <c r="I43" i="5" s="1"/>
  <c r="F31" i="3"/>
  <c r="E31" i="3"/>
  <c r="F29" i="3"/>
  <c r="E29" i="3"/>
  <c r="F26" i="3"/>
  <c r="E26" i="3"/>
  <c r="F25" i="3"/>
  <c r="E25" i="3"/>
  <c r="F17" i="3"/>
  <c r="F16" i="3"/>
  <c r="E14" i="3"/>
  <c r="R27" i="2" l="1"/>
  <c r="R24" i="2"/>
  <c r="N21" i="2"/>
  <c r="R21" i="2" s="1"/>
  <c r="R18" i="2"/>
  <c r="G25" i="3"/>
  <c r="H25" i="3" s="1"/>
  <c r="G26" i="3"/>
  <c r="H26" i="3" s="1"/>
  <c r="G29" i="3"/>
  <c r="H29" i="3" s="1"/>
  <c r="G31" i="3"/>
  <c r="H31" i="3" s="1"/>
  <c r="Q15" i="2" l="1"/>
  <c r="Q6" i="2"/>
  <c r="E23" i="3" l="1"/>
  <c r="F23" i="3"/>
  <c r="G23" i="3" s="1"/>
  <c r="H23" i="3" s="1"/>
  <c r="E27" i="3"/>
  <c r="F27" i="3"/>
  <c r="G27" i="3" s="1"/>
  <c r="H27" i="3" s="1"/>
  <c r="F24" i="3"/>
  <c r="G24" i="3" s="1"/>
  <c r="H24" i="3" s="1"/>
  <c r="E24" i="3"/>
  <c r="F28" i="3"/>
  <c r="G28" i="3" s="1"/>
  <c r="H28" i="3" s="1"/>
  <c r="E28" i="3"/>
  <c r="H30" i="2"/>
  <c r="I15" i="2"/>
  <c r="I6" i="2"/>
  <c r="E22" i="3" l="1"/>
  <c r="F13" i="3"/>
  <c r="E13" i="3"/>
  <c r="E20" i="3"/>
  <c r="F11" i="3"/>
  <c r="E11" i="3"/>
  <c r="E19" i="3"/>
  <c r="F10" i="3"/>
  <c r="E10" i="3"/>
  <c r="E18" i="3"/>
  <c r="F9" i="3"/>
  <c r="E9" i="3"/>
  <c r="E17" i="3"/>
  <c r="F8" i="3"/>
  <c r="E8" i="3"/>
  <c r="E16" i="3"/>
  <c r="F7" i="3"/>
  <c r="E7" i="3"/>
  <c r="E15" i="3"/>
  <c r="F6" i="3"/>
  <c r="E6" i="3"/>
  <c r="F5" i="3"/>
  <c r="E5" i="3"/>
  <c r="G11" i="3" l="1"/>
  <c r="H11" i="3" s="1"/>
  <c r="G6" i="5"/>
  <c r="G10" i="3" l="1"/>
  <c r="H10" i="3" s="1"/>
  <c r="J30" i="2" l="1"/>
  <c r="K30" i="2"/>
  <c r="I30" i="2"/>
  <c r="G9" i="3" l="1"/>
  <c r="H9" i="3" s="1"/>
  <c r="G88" i="5"/>
  <c r="G90" i="5" l="1"/>
  <c r="AK67" i="1"/>
  <c r="AM67" i="1"/>
  <c r="AL67" i="1"/>
  <c r="S30" i="2"/>
  <c r="T30" i="2"/>
  <c r="H6" i="5" l="1"/>
  <c r="G89" i="5" l="1"/>
  <c r="G8" i="3"/>
  <c r="H8" i="3" s="1"/>
  <c r="G13" i="3"/>
  <c r="H13" i="3" s="1"/>
  <c r="H50" i="3" l="1"/>
  <c r="M15" i="2" l="1"/>
  <c r="L15" i="2"/>
  <c r="M6" i="2"/>
  <c r="L6" i="2"/>
  <c r="N15" i="2" l="1"/>
  <c r="N6" i="2"/>
  <c r="R6" i="2"/>
  <c r="F19" i="3"/>
  <c r="F18" i="3"/>
  <c r="R15" i="2"/>
  <c r="F15" i="3"/>
  <c r="H25" i="5"/>
  <c r="L30" i="2"/>
  <c r="M30" i="2"/>
  <c r="H26" i="5"/>
  <c r="G78" i="5" s="1"/>
  <c r="E42" i="5" s="1"/>
  <c r="F14" i="3" l="1"/>
  <c r="G20" i="3"/>
  <c r="H20" i="3" s="1"/>
  <c r="G71" i="3" s="1"/>
  <c r="E44" i="3" s="1"/>
  <c r="G44" i="3" s="1"/>
  <c r="I44" i="3" s="1"/>
  <c r="J44" i="3" s="1"/>
  <c r="K44" i="3" s="1"/>
  <c r="F30" i="2"/>
  <c r="G7" i="3" l="1"/>
  <c r="H7" i="3" s="1"/>
  <c r="G6" i="3"/>
  <c r="H6" i="3" s="1"/>
  <c r="G5" i="3"/>
  <c r="E32" i="3" l="1"/>
  <c r="G18" i="3"/>
  <c r="H18" i="3" s="1"/>
  <c r="G69" i="3" l="1"/>
  <c r="E42" i="3" s="1"/>
  <c r="G42" i="3" s="1"/>
  <c r="I42" i="3" s="1"/>
  <c r="J42" i="3" s="1"/>
  <c r="K42" i="3" s="1"/>
  <c r="G19" i="3"/>
  <c r="H19" i="3" s="1"/>
  <c r="AD67" i="1"/>
  <c r="G70" i="3" l="1"/>
  <c r="E43" i="3" s="1"/>
  <c r="G43" i="3" s="1"/>
  <c r="I43" i="3" s="1"/>
  <c r="J43" i="3" s="1"/>
  <c r="K43" i="3" s="1"/>
  <c r="E35" i="5" l="1"/>
  <c r="H5" i="5" l="1"/>
  <c r="G42" i="5" l="1"/>
  <c r="I42" i="5" s="1"/>
  <c r="G22" i="3" l="1"/>
  <c r="H22" i="3" s="1"/>
  <c r="R30" i="2"/>
  <c r="G17" i="3"/>
  <c r="H17" i="3" s="1"/>
  <c r="Q30" i="2"/>
  <c r="G15" i="3"/>
  <c r="H15" i="3" s="1"/>
  <c r="G14" i="3"/>
  <c r="G66" i="3" l="1"/>
  <c r="E39" i="3" s="1"/>
  <c r="G39" i="3" s="1"/>
  <c r="I39" i="3" s="1"/>
  <c r="J39" i="3" s="1"/>
  <c r="K39" i="3" s="1"/>
  <c r="G68" i="3"/>
  <c r="G73" i="3"/>
  <c r="G16" i="3"/>
  <c r="H16" i="3" s="1"/>
  <c r="H14" i="3"/>
  <c r="F32" i="3"/>
  <c r="E46" i="3" l="1"/>
  <c r="G46" i="3" s="1"/>
  <c r="I46" i="3" s="1"/>
  <c r="J46" i="3" s="1"/>
  <c r="K46" i="3" s="1"/>
  <c r="G45" i="3"/>
  <c r="I45" i="3" s="1"/>
  <c r="G67" i="3"/>
  <c r="E40" i="3" s="1"/>
  <c r="G40" i="3" s="1"/>
  <c r="I40" i="3" s="1"/>
  <c r="J40" i="3" s="1"/>
  <c r="K40" i="3" s="1"/>
  <c r="E41" i="3"/>
  <c r="H5" i="3"/>
  <c r="G65" i="3" s="1"/>
  <c r="G32" i="3"/>
  <c r="J45" i="3" l="1"/>
  <c r="K45" i="3" s="1"/>
  <c r="E38" i="3"/>
  <c r="G38" i="3" s="1"/>
  <c r="H32" i="3"/>
  <c r="G74" i="3" l="1"/>
  <c r="E47" i="3" s="1"/>
  <c r="G75" i="3"/>
  <c r="E48" i="3" s="1"/>
  <c r="G48" i="3" s="1"/>
  <c r="I48" i="3" s="1"/>
  <c r="J48" i="3" s="1"/>
  <c r="K48" i="3" s="1"/>
  <c r="G76" i="3"/>
  <c r="E49" i="3" s="1"/>
  <c r="G49" i="3" s="1"/>
  <c r="I49" i="3" s="1"/>
  <c r="J49" i="3" s="1"/>
  <c r="K49" i="3" s="1"/>
  <c r="G35" i="5"/>
  <c r="I38" i="3"/>
  <c r="G41" i="3"/>
  <c r="I41" i="3" s="1"/>
  <c r="J41" i="3" s="1"/>
  <c r="K41" i="3" s="1"/>
  <c r="G77" i="3" l="1"/>
  <c r="J38" i="3"/>
  <c r="F35" i="5"/>
  <c r="G47" i="3"/>
  <c r="H15" i="5"/>
  <c r="G77" i="5" l="1"/>
  <c r="E41" i="5" s="1"/>
  <c r="H35" i="5"/>
  <c r="K38" i="3"/>
  <c r="I47" i="3"/>
  <c r="G50" i="3"/>
  <c r="G93" i="5" l="1"/>
  <c r="E53" i="5" s="1"/>
  <c r="G53" i="5" s="1"/>
  <c r="I53" i="5" s="1"/>
  <c r="G92" i="5"/>
  <c r="E52" i="5" s="1"/>
  <c r="G52" i="5" s="1"/>
  <c r="I52" i="5" s="1"/>
  <c r="G91" i="5"/>
  <c r="E51" i="5" s="1"/>
  <c r="G51" i="5" s="1"/>
  <c r="I51" i="5" s="1"/>
  <c r="J47" i="3"/>
  <c r="J50" i="3" s="1"/>
  <c r="I50" i="3"/>
  <c r="G41" i="5"/>
  <c r="I41" i="5" s="1"/>
  <c r="K47" i="3" l="1"/>
  <c r="G94" i="5"/>
  <c r="K50" i="3" l="1"/>
  <c r="E54" i="5"/>
  <c r="I54" i="5" l="1"/>
  <c r="G54" i="5"/>
</calcChain>
</file>

<file path=xl/sharedStrings.xml><?xml version="1.0" encoding="utf-8"?>
<sst xmlns="http://schemas.openxmlformats.org/spreadsheetml/2006/main" count="560" uniqueCount="238">
  <si>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</si>
  <si>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</si>
  <si>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</si>
  <si>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</si>
  <si>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</si>
  <si>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</si>
  <si>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</si>
  <si>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</si>
  <si>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</si>
  <si>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</si>
  <si>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</si>
  <si>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</si>
  <si>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</si>
  <si>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</si>
  <si>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</si>
  <si>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</si>
  <si>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</si>
  <si>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</si>
  <si>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</si>
  <si>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</si>
  <si>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</si>
  <si>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</si>
  <si>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</si>
  <si>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</si>
  <si>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</si>
  <si>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</si>
  <si>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</si>
  <si>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</si>
  <si>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</si>
  <si>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</si>
  <si>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</si>
  <si>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</si>
  <si>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</si>
  <si>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</si>
  <si>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</si>
  <si>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</si>
  <si>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</si>
  <si>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</si>
  <si>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</si>
  <si>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</si>
  <si>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</si>
  <si>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</si>
  <si>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</si>
  <si>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</si>
  <si>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</si>
  <si>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</si>
  <si>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</si>
  <si>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</si>
  <si>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</si>
  <si>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</si>
  <si>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</si>
  <si>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</si>
  <si>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</si>
  <si>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</si>
  <si>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</si>
  <si>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</si>
  <si>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</si>
  <si>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</si>
  <si>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</si>
  <si>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</si>
  <si>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</si>
  <si>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</si>
  <si>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</si>
  <si>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</si>
  <si>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</si>
  <si>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</si>
  <si>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</si>
  <si>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</si>
  <si>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</si>
  <si>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</si>
  <si>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</si>
  <si>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</si>
  <si>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</si>
  <si>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</si>
  <si>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</si>
  <si>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</si>
  <si>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</si>
  <si>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</si>
  <si>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</si>
  <si>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</si>
  <si>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</si>
  <si>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</si>
  <si>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</si>
  <si>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</si>
  <si>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</si>
  <si>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</si>
  <si>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</si>
  <si>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</si>
  <si>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</si>
  <si>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</si>
  <si>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</si>
  <si>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</si>
  <si>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</si>
  <si>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</si>
  <si>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</si>
  <si>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</si>
  <si>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</si>
  <si>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</si>
  <si>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</si>
  <si>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</si>
  <si>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</si>
  <si>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</si>
  <si>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</si>
  <si>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</si>
  <si>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</si>
  <si>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</si>
  <si>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</si>
  <si>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</si>
  <si>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WING670624</t>
  </si>
  <si>
    <t>บริษัท เดอะ การ์เด้น เพลส งามวงศ์วาน จำกัด</t>
  </si>
  <si>
    <t>โครงการ เดอะการ์เด้นเพลส</t>
  </si>
  <si>
    <t>IV6710189</t>
  </si>
  <si>
    <t>NG</t>
  </si>
  <si>
    <t>NGCBN-HP241003</t>
  </si>
  <si>
    <t>ประจำเดือน พฤศจิกายน</t>
  </si>
  <si>
    <t>สรุปรายการเบิกค่าคอมมิชชั่น ประจำเดือน  พฤศจิกายน 2567</t>
  </si>
  <si>
    <t>ยกมาจากรอบ ต.ค. 67 เนื่องจาก Sales ส่งเอกสารไม่ทัน</t>
  </si>
  <si>
    <t>WILB671033</t>
  </si>
  <si>
    <t>คุณรัตนา บางเทศธรรม</t>
  </si>
  <si>
    <t>โครงการ ศักดิ์นาวิล แมนชั่น</t>
  </si>
  <si>
    <t>IV6710302</t>
  </si>
  <si>
    <t>WILB671034</t>
  </si>
  <si>
    <t>คุณศศิลดา เหรียญตระกูลชัย</t>
  </si>
  <si>
    <t>โครงการ ภีทยา แมนชั่น</t>
  </si>
  <si>
    <t>IV6710278</t>
  </si>
  <si>
    <t>WIWD670932</t>
  </si>
  <si>
    <t>โครงการ สิริวรรณ</t>
  </si>
  <si>
    <t>คุณสิริวรรณ โล้พิรุณ</t>
  </si>
  <si>
    <t>IV6711232</t>
  </si>
  <si>
    <t>WD</t>
  </si>
  <si>
    <t>คุณชนัฐฎา สนคะมี</t>
  </si>
  <si>
    <t>261-2-24637-7</t>
  </si>
  <si>
    <t>LBCBN-HP241103</t>
  </si>
  <si>
    <t>WDCBN-HP241103</t>
  </si>
  <si>
    <t>ค่าเชื่อมสัญญาณ/
ค่าติดตั้ง/
ค่าขายอุปกรณ์
(เรียกเก็บสุทธิ)</t>
  </si>
  <si>
    <t>ต้นทุน</t>
  </si>
  <si>
    <t>ส่วนต่างกำไร</t>
  </si>
  <si>
    <t>คอมฯ
 5%</t>
  </si>
  <si>
    <t>คอมฯ
10%</t>
  </si>
  <si>
    <t>ค่าเชื่อมสัญญาณ
(เรียกเก็บสุทธิ)</t>
  </si>
  <si>
    <t>ค่าบริการเฉลียรายเดือนตาม Package
(เรียกเก็บสุทธิ)</t>
  </si>
  <si>
    <r>
      <t xml:space="preserve">ค่าคอมฯ </t>
    </r>
    <r>
      <rPr>
        <b/>
        <u/>
        <sz val="11"/>
        <rFont val="Tahoma"/>
        <family val="2"/>
      </rPr>
      <t>(กรณีมีต้นทุน)</t>
    </r>
  </si>
  <si>
    <t>ค่าเชื่อมสัญญาณ/</t>
  </si>
  <si>
    <t>ค่าติดตั้ง/</t>
  </si>
  <si>
    <r>
      <t xml:space="preserve">ค่าคอมฯ </t>
    </r>
    <r>
      <rPr>
        <b/>
        <u/>
        <sz val="11"/>
        <rFont val="Tahoma"/>
        <family val="2"/>
      </rPr>
      <t>(กรณีไม่มีต้นทุน)</t>
    </r>
  </si>
  <si>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</si>
  <si>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</si>
  <si>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</si>
  <si>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</si>
  <si>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</si>
  <si>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</si>
  <si>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</si>
  <si>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คุณนรินทร์ ปิงมูล</t>
  </si>
  <si>
    <t>SE</t>
  </si>
  <si>
    <t>Cable ช่องรายการเสริม</t>
  </si>
  <si>
    <t>Cable ขายอุปกรณ์</t>
  </si>
  <si>
    <t>ฝ่ายขายกลุ่ม Hospitality &amp; Ressident</t>
  </si>
  <si>
    <t>Sales Engineer</t>
  </si>
  <si>
    <t>เรทส่วนแบ่งเปอร์เซ็นต์ค่าคอมตาม Memo (พ.1) ลงวันที่ 9/12/2567</t>
  </si>
  <si>
    <t>(Sales)</t>
  </si>
  <si>
    <t>Operation Sales</t>
  </si>
  <si>
    <t>051-2-21873-6</t>
  </si>
  <si>
    <t>138-2-93890-8</t>
  </si>
  <si>
    <t>919-7-16744-9</t>
  </si>
  <si>
    <t>234-2-86145-3</t>
  </si>
  <si>
    <t>สั่งจ่าย</t>
  </si>
  <si>
    <t>ปีที่ 1</t>
  </si>
  <si>
    <t>ปีที่ 2</t>
  </si>
  <si>
    <t>ปีที่ 3</t>
  </si>
  <si>
    <t>ปีที่ 4</t>
  </si>
  <si>
    <t>ปีที่ 5</t>
  </si>
  <si>
    <t>ระยะเวลาสัญญา
(เดือน)</t>
  </si>
  <si>
    <t>ยอดที่1</t>
  </si>
  <si>
    <t>ยอดที่2</t>
  </si>
  <si>
    <t>Recheck</t>
  </si>
  <si>
    <t>ยอดที่3</t>
  </si>
  <si>
    <t>ยอดที่4</t>
  </si>
  <si>
    <t>ยอดที่5</t>
  </si>
  <si>
    <t>จ่ายครั้งเดียว</t>
  </si>
  <si>
    <t>แบ่งจ่ายตามปีสัญญา</t>
  </si>
  <si>
    <t>ค่าคอมฯ (กรณีมีต้นทุน)</t>
  </si>
  <si>
    <t>ค่าคอมฯ (กรณีไม่มีต้นทุน)</t>
  </si>
  <si>
    <t>เดือนที่ปิดการขาย</t>
  </si>
  <si>
    <t>แบ่งจ่าย/งวด
(ตามปีสัญญา)</t>
  </si>
  <si>
    <t>ค่าบริการเฉลี่ยต่อเดือน</t>
  </si>
  <si>
    <t>หัก 3%</t>
  </si>
  <si>
    <t>มี</t>
  </si>
  <si>
    <t>ไม่มี</t>
  </si>
  <si>
    <t>มูลค่าหัก 3%</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</si>
  <si>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</si>
  <si>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</si>
  <si>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</si>
  <si>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</si>
  <si>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</si>
  <si>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</si>
  <si>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Total
รายการเบิก
คอมขาย
(1)</t>
  </si>
  <si>
    <t>Total
ค่าเชื่มสัญญาณ/ค่าติดตั้ง/
ค่าขายอุปกรณ์
(2)</t>
  </si>
  <si>
    <t>Total 
คอมฯค่าเชื่อมสัญญาณ
(3)</t>
  </si>
  <si>
    <t>%ค่าคอม</t>
  </si>
  <si>
    <t>หัก ณ ที่จ่าย
(ค่าเชื่อมสัญญาณ)</t>
  </si>
  <si>
    <t>มูลค่าหัก 3%
(ค่าเชื่อมสัญญาณ)</t>
  </si>
  <si>
    <t>ค่าบริการต่อเดือน</t>
  </si>
  <si>
    <t>ค่าเชื่อม/ติดตั้งต่อเดือน</t>
  </si>
  <si>
    <t>Recheck ยอด 10/2567</t>
  </si>
  <si>
    <t>Cable HLS to UDP</t>
  </si>
  <si>
    <t>Cable HLS to RF</t>
  </si>
  <si>
    <t>% ค่าคอมค่าบริการ
(อัตราก้าวหน้า)</t>
  </si>
  <si>
    <t>รายงานสรุปค่าคอมมิชชั่นจากการติดตั้งประจำปี 2568</t>
  </si>
  <si>
    <t>ปีที่2</t>
  </si>
  <si>
    <t>ปีที่3</t>
  </si>
  <si>
    <t>ปีที่4</t>
  </si>
  <si>
    <t>ปีที่5</t>
  </si>
  <si>
    <t>OS</t>
  </si>
  <si>
    <t>ต้นทุนช่องรายการ
(ถ้ามี)</t>
  </si>
  <si>
    <t>การจ่ายค่าบริการ</t>
  </si>
  <si>
    <t>(กรณีมีต้นทุน)</t>
  </si>
  <si>
    <t>(กรณีไม่มีต้นทุน)</t>
  </si>
  <si>
    <t>ค่าเชื่อมสัญญาณ/ติดตั้ง/ขายอุปกรณ์</t>
  </si>
  <si>
    <t>ส่งเบิกพร้อมเอกสารตัวจริง</t>
  </si>
  <si>
    <t>ค่าบริการดึงจาก collum นี้</t>
  </si>
  <si>
    <t>รายชื่อผู้รับค่าคอมส่วนงาน HP+RS (ตามหลักเกณฑ์ใหม่)</t>
  </si>
  <si>
    <t xml:space="preserve">                                                                                             </t>
  </si>
  <si>
    <t>ปีที่1</t>
  </si>
  <si>
    <t>หมายเหตุ</t>
  </si>
  <si>
    <t>(HP)</t>
  </si>
  <si>
    <t>ประจำเดือน มิถุนายน</t>
  </si>
  <si>
    <t>สรุปรายการเบิกค่าคอมมิชชั่น ประจำเดือน มิถุนายน 2568</t>
  </si>
  <si>
    <t>บริษัท แวคเฮ้าส์ จำกัด</t>
  </si>
  <si>
    <t>PTIVL-2505-0034</t>
  </si>
  <si>
    <t>PTIVL-2505-0033</t>
  </si>
  <si>
    <t>PTSP-2506-0014</t>
  </si>
  <si>
    <t>PT</t>
  </si>
  <si>
    <t>ทำจ่ายรอบ 7/2025</t>
  </si>
  <si>
    <t>โรงแรมเวลาบี กรุงเทพ ราชเทวี</t>
  </si>
  <si>
    <t>(ค่าบริการรายเดือน พ.ค.68 -ก.พ.69 ดูฟรี มี.ค.-เมย.69)</t>
  </si>
  <si>
    <t>ค่าบริการ 75,000 ค่าเชื่อมสัญญาณ 10,000 บาท หัก ณที่จ่าย 3% =2,550</t>
  </si>
  <si>
    <t>รอจ่ายรอบ 5/2026</t>
  </si>
  <si>
    <t>Task นำส่งเงิน #11326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</si>
</sst>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_-* #,##0.00_-;\-* #,##0.00_-;_-* &quot;-&quot;??_-;_-@_-"/>
  </numFmts>
  <fonts count="94">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sz val="14"/>
      <color theme="0"/>
      <name val="Arial"/>
      <family val="2"/>
    </font>
    <font>
      <b/>
      <sz val="12"/>
      <color indexed="10"/>
      <name val="Arial"/>
      <family val="2"/>
    </font>
    <font>
      <b/>
      <sz val="11"/>
      <color theme="1"/>
      <name val="Arial"/>
      <family val="2"/>
    </font>
    <font>
      <b/>
      <sz val="14"/>
      <color rgb="FF000000"/>
      <name val="Calibri"/>
      <family val="2"/>
    </font>
    <font>
      <b/>
      <sz val="14"/>
      <color indexed="8"/>
      <name val="Arial"/>
      <family val="2"/>
    </font>
    <font>
      <b/>
      <u/>
      <sz val="11"/>
      <name val="Tahoma"/>
      <family val="2"/>
    </font>
    <font>
      <b/>
      <sz val="11"/>
      <color theme="0"/>
      <name val="Arial"/>
      <family val="2"/>
    </font>
    <font>
      <sz val="11"/>
      <color theme="1"/>
      <name val="Arial"/>
      <family val="2"/>
    </font>
    <font>
      <sz val="9"/>
      <color theme="1"/>
      <name val="Arial"/>
      <family val="2"/>
    </font>
    <font>
      <b/>
      <sz val="18"/>
      <name val="Arial"/>
      <family val="2"/>
    </font>
    <font>
      <b/>
      <sz val="10"/>
      <color theme="0"/>
      <name val="Arial"/>
      <family val="2"/>
    </font>
    <font>
      <b/>
      <sz val="14"/>
      <color theme="2" tint="-0.499984740745262"/>
      <name val="Arial"/>
      <family val="2"/>
    </font>
    <font>
      <sz val="14"/>
      <color theme="2" tint="-0.499984740745262"/>
      <name val="Arial"/>
      <family val="2"/>
    </font>
    <font>
      <b/>
      <sz val="14"/>
      <color theme="1"/>
      <name val="Arial"/>
      <family val="2"/>
    </font>
    <font>
      <b/>
      <sz val="14"/>
      <color indexed="63"/>
      <name val="Tahoma"/>
      <family val="2"/>
    </font>
    <font>
      <b/>
      <sz val="14"/>
      <color theme="2" tint="-0.499984740745262"/>
      <name val="Tahoma"/>
      <family val="2"/>
    </font>
    <font>
      <sz val="14"/>
      <name val="Tahoma"/>
      <family val="2"/>
    </font>
    <font>
      <b/>
      <sz val="14"/>
      <name val="Tahoma"/>
      <family val="2"/>
    </font>
    <font>
      <b/>
      <sz val="14"/>
      <color theme="0"/>
      <name val="Tahoma"/>
      <family val="2"/>
    </font>
    <font>
      <b/>
      <sz val="14"/>
      <color theme="1"/>
      <name val="Tahoma"/>
      <family val="2"/>
    </font>
    <font>
      <sz val="14"/>
      <color theme="1"/>
      <name val="Tahoma"/>
      <family val="2"/>
    </font>
    <font>
      <sz val="14"/>
      <color indexed="8"/>
      <name val="Tahoma"/>
      <family val="2"/>
    </font>
    <font>
      <b/>
      <sz val="14"/>
      <color indexed="8"/>
      <name val="Tahoma"/>
      <family val="2"/>
    </font>
    <font>
      <b/>
      <sz val="14"/>
      <color rgb="FF000000"/>
      <name val="Tahoma"/>
      <family val="2"/>
    </font>
    <font>
      <sz val="14"/>
      <color theme="2" tint="-0.499984740745262"/>
      <name val="Tahoma"/>
      <family val="2"/>
    </font>
    <font>
      <sz val="14"/>
      <color indexed="9"/>
      <name val="Tahoma"/>
      <family val="2"/>
    </font>
    <font>
      <sz val="14"/>
      <color rgb="FF0000FF"/>
      <name val="Tahoma"/>
      <family val="2"/>
    </font>
    <font>
      <b/>
      <sz val="16"/>
      <name val="Tahoma"/>
      <family val="2"/>
    </font>
    <font>
      <b/>
      <sz val="16"/>
      <color theme="0"/>
      <name val="Tahoma"/>
      <family val="2"/>
    </font>
    <font>
      <u/>
      <sz val="14"/>
      <color theme="0"/>
      <name val="Tahoma"/>
      <family val="2"/>
    </font>
    <font>
      <sz val="14"/>
      <color theme="0"/>
      <name val="Tahoma"/>
      <family val="2"/>
    </font>
    <font>
      <b/>
      <u val="singleAccounting"/>
      <sz val="18"/>
      <name val="Arial"/>
      <family val="2"/>
    </font>
    <font>
      <sz val="14"/>
      <color rgb="FFC00000"/>
      <name val="Tahoma"/>
      <family val="2"/>
    </font>
    <font>
      <sz val="12"/>
      <color rgb="FF0000FF"/>
      <name val="Tahoma"/>
      <family val="2"/>
    </font>
    <font>
      <sz val="14"/>
      <color theme="0" tint="-0.499984740745262"/>
      <name val="Tahoma"/>
      <family val="2"/>
    </font>
    <font>
      <b/>
      <sz val="9"/>
      <name val="Arial"/>
      <family val="2"/>
    </font>
    <font>
      <sz val="10"/>
      <name val="Tahoma"/>
      <family val="2"/>
    </font>
    <font>
      <b/>
      <sz val="10"/>
      <name val="Tahoma"/>
      <family val="2"/>
    </font>
    <font>
      <b/>
      <sz val="20"/>
      <color theme="0"/>
      <name val="Tahoma"/>
      <family val="2"/>
    </font>
    <font>
      <b/>
      <sz val="18"/>
      <color theme="0"/>
      <name val="Tahoma"/>
      <family val="2"/>
    </font>
    <font>
      <sz val="14"/>
      <color rgb="FFFF0000"/>
      <name val="Tahoma"/>
      <family val="2"/>
    </font>
    <font>
      <sz val="14"/>
      <color rgb="FFA4C7FA"/>
      <name val="Tahoma"/>
      <family val="2"/>
    </font>
    <font>
      <sz val="14"/>
      <color rgb="FFCCECFF"/>
      <name val="Tahoma"/>
      <family val="2"/>
    </font>
    <font>
      <sz val="13"/>
      <name val="Tahoma"/>
      <family val="2"/>
    </font>
  </fonts>
  <fills count="4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59999389629810485"/>
        <bgColor rgb="FFBDD6EE"/>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00009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2"/>
        <bgColor indexed="64"/>
      </patternFill>
    </fill>
    <fill>
      <patternFill patternType="solid">
        <fgColor theme="2"/>
      </patternFill>
    </fill>
    <fill>
      <patternFill patternType="solid">
        <fgColor rgb="FFC5D3FF"/>
        <bgColor rgb="FFBDD6EE"/>
      </patternFill>
    </fill>
    <fill>
      <patternFill patternType="solid">
        <fgColor theme="2"/>
        <bgColor rgb="FFBDD6EE"/>
      </patternFill>
    </fill>
    <fill>
      <patternFill patternType="solid">
        <fgColor rgb="FFC5D3FF"/>
        <bgColor indexed="64"/>
      </patternFill>
    </fill>
    <fill>
      <patternFill patternType="solid">
        <fgColor theme="4"/>
        <bgColor indexed="64"/>
      </patternFill>
    </fill>
  </fills>
  <borders count="141">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hair">
        <color indexed="53"/>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indexed="64"/>
      </right>
      <top/>
      <bottom style="hair">
        <color indexed="53"/>
      </bottom>
      <diagonal/>
    </border>
    <border>
      <left/>
      <right style="thin">
        <color indexed="64"/>
      </right>
      <top/>
      <bottom style="hair">
        <color indexed="53"/>
      </bottom>
      <diagonal/>
    </border>
    <border>
      <left style="thin">
        <color indexed="64"/>
      </left>
      <right style="thin">
        <color indexed="64"/>
      </right>
      <top/>
      <bottom style="hair">
        <color indexed="53"/>
      </bottom>
      <diagonal/>
    </border>
    <border>
      <left/>
      <right/>
      <top/>
      <bottom style="hair">
        <color indexed="53"/>
      </bottom>
      <diagonal/>
    </border>
    <border>
      <left style="medium">
        <color indexed="64"/>
      </left>
      <right style="thin">
        <color indexed="64"/>
      </right>
      <top style="medium">
        <color indexed="64"/>
      </top>
      <bottom style="hair">
        <color indexed="53"/>
      </bottom>
      <diagonal/>
    </border>
    <border>
      <left/>
      <right style="thin">
        <color indexed="64"/>
      </right>
      <top style="medium">
        <color indexed="64"/>
      </top>
      <bottom style="hair">
        <color indexed="53"/>
      </bottom>
      <diagonal/>
    </border>
    <border>
      <left/>
      <right style="medium">
        <color indexed="64"/>
      </right>
      <top style="medium">
        <color indexed="64"/>
      </top>
      <bottom style="hair">
        <color indexed="5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top/>
      <bottom style="dotted">
        <color theme="8" tint="0.39997558519241921"/>
      </bottom>
      <diagonal/>
    </border>
    <border>
      <left/>
      <right style="thin">
        <color indexed="64"/>
      </right>
      <top style="medium">
        <color indexed="53"/>
      </top>
      <bottom style="dotted">
        <color theme="8" tint="0.39997558519241921"/>
      </bottom>
      <diagonal/>
    </border>
    <border>
      <left style="thin">
        <color indexed="64"/>
      </left>
      <right style="thin">
        <color indexed="64"/>
      </right>
      <top style="medium">
        <color indexed="53"/>
      </top>
      <bottom style="dotted">
        <color theme="8" tint="0.39997558519241921"/>
      </bottom>
      <diagonal/>
    </border>
    <border>
      <left/>
      <right/>
      <top style="dotted">
        <color theme="8" tint="0.39997558519241921"/>
      </top>
      <bottom style="dotted">
        <color theme="8" tint="0.39997558519241921"/>
      </bottom>
      <diagonal/>
    </border>
    <border>
      <left/>
      <right style="thin">
        <color indexed="64"/>
      </right>
      <top style="dotted">
        <color theme="8" tint="0.39997558519241921"/>
      </top>
      <bottom style="dotted">
        <color theme="8" tint="0.39997558519241921"/>
      </bottom>
      <diagonal/>
    </border>
    <border>
      <left style="thin">
        <color indexed="64"/>
      </left>
      <right style="thin">
        <color indexed="64"/>
      </right>
      <top style="dotted">
        <color theme="8" tint="0.39997558519241921"/>
      </top>
      <bottom style="dotted">
        <color theme="8" tint="0.39997558519241921"/>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top style="medium">
        <color indexed="53"/>
      </top>
      <bottom style="dotted">
        <color theme="8" tint="0.39997558519241921"/>
      </bottom>
      <diagonal/>
    </border>
    <border>
      <left style="thin">
        <color indexed="64"/>
      </left>
      <right/>
      <top style="dotted">
        <color theme="8" tint="0.39997558519241921"/>
      </top>
      <bottom style="dotted">
        <color theme="8" tint="0.39997558519241921"/>
      </bottom>
      <diagonal/>
    </border>
    <border>
      <left style="thin">
        <color indexed="64"/>
      </left>
      <right style="thin">
        <color indexed="64"/>
      </right>
      <top/>
      <bottom style="double">
        <color indexed="64"/>
      </bottom>
      <diagonal/>
    </border>
    <border>
      <left style="medium">
        <color indexed="64"/>
      </left>
      <right style="thin">
        <color indexed="64"/>
      </right>
      <top style="medium">
        <color indexed="53"/>
      </top>
      <bottom style="dotted">
        <color theme="8" tint="0.39997558519241921"/>
      </bottom>
      <diagonal/>
    </border>
    <border>
      <left style="thin">
        <color indexed="64"/>
      </left>
      <right style="medium">
        <color indexed="64"/>
      </right>
      <top style="medium">
        <color indexed="53"/>
      </top>
      <bottom style="dotted">
        <color theme="8" tint="0.39997558519241921"/>
      </bottom>
      <diagonal/>
    </border>
    <border>
      <left style="medium">
        <color indexed="64"/>
      </left>
      <right style="thin">
        <color indexed="64"/>
      </right>
      <top style="dotted">
        <color theme="8" tint="0.39997558519241921"/>
      </top>
      <bottom style="dotted">
        <color theme="8" tint="0.39997558519241921"/>
      </bottom>
      <diagonal/>
    </border>
    <border>
      <left style="thin">
        <color indexed="64"/>
      </left>
      <right style="medium">
        <color indexed="64"/>
      </right>
      <top style="dotted">
        <color theme="8" tint="0.39997558519241921"/>
      </top>
      <bottom style="dotted">
        <color theme="8" tint="0.39997558519241921"/>
      </bottom>
      <diagonal/>
    </border>
    <border>
      <left style="medium">
        <color rgb="FF000000"/>
      </left>
      <right/>
      <top style="medium">
        <color rgb="FF000000"/>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style="dotted">
        <color theme="8" tint="0.39997558519241921"/>
      </top>
      <bottom style="medium">
        <color theme="5"/>
      </bottom>
      <diagonal/>
    </border>
    <border>
      <left style="thin">
        <color indexed="64"/>
      </left>
      <right style="thin">
        <color indexed="64"/>
      </right>
      <top style="medium">
        <color indexed="64"/>
      </top>
      <bottom style="thin">
        <color indexed="64"/>
      </bottom>
      <diagonal/>
    </border>
    <border>
      <left/>
      <right style="medium">
        <color indexed="64"/>
      </right>
      <top style="medium">
        <color indexed="53"/>
      </top>
      <bottom style="dotted">
        <color theme="8" tint="0.39997558519241921"/>
      </bottom>
      <diagonal/>
    </border>
    <border>
      <left/>
      <right style="medium">
        <color indexed="64"/>
      </right>
      <top style="dotted">
        <color theme="8" tint="0.39997558519241921"/>
      </top>
      <bottom style="dotted">
        <color theme="8" tint="0.3999755851924192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53"/>
      </top>
      <bottom style="dotted">
        <color theme="8" tint="0.39997558519241921"/>
      </bottom>
      <diagonal/>
    </border>
    <border>
      <left style="hair">
        <color indexed="64"/>
      </left>
      <right style="hair">
        <color indexed="64"/>
      </right>
      <top style="medium">
        <color indexed="53"/>
      </top>
      <bottom style="dotted">
        <color theme="8" tint="0.39997558519241921"/>
      </bottom>
      <diagonal/>
    </border>
    <border>
      <left style="hair">
        <color indexed="64"/>
      </left>
      <right style="hair">
        <color indexed="64"/>
      </right>
      <top style="dotted">
        <color theme="8" tint="0.39997558519241921"/>
      </top>
      <bottom style="dotted">
        <color theme="8" tint="0.39997558519241921"/>
      </bottom>
      <diagonal/>
    </border>
    <border>
      <left style="medium">
        <color indexed="64"/>
      </left>
      <right style="hair">
        <color indexed="64"/>
      </right>
      <top/>
      <bottom style="medium">
        <color indexed="53"/>
      </bottom>
      <diagonal/>
    </border>
    <border>
      <left style="hair">
        <color indexed="64"/>
      </left>
      <right style="hair">
        <color indexed="64"/>
      </right>
      <top/>
      <bottom style="medium">
        <color indexed="53"/>
      </bottom>
      <diagonal/>
    </border>
    <border>
      <left style="hair">
        <color indexed="64"/>
      </left>
      <right style="medium">
        <color indexed="64"/>
      </right>
      <top/>
      <bottom style="medium">
        <color indexed="53"/>
      </bottom>
      <diagonal/>
    </border>
    <border>
      <left style="medium">
        <color indexed="64"/>
      </left>
      <right style="hair">
        <color indexed="64"/>
      </right>
      <top style="dotted">
        <color theme="8" tint="0.39997558519241921"/>
      </top>
      <bottom style="dotted">
        <color theme="8" tint="0.39997558519241921"/>
      </bottom>
      <diagonal/>
    </border>
    <border>
      <left/>
      <right style="hair">
        <color indexed="64"/>
      </right>
      <top style="medium">
        <color indexed="53"/>
      </top>
      <bottom style="dotted">
        <color theme="8" tint="0.39997558519241921"/>
      </bottom>
      <diagonal/>
    </border>
    <border>
      <left/>
      <right style="hair">
        <color indexed="64"/>
      </right>
      <top style="dotted">
        <color theme="8" tint="0.39997558519241921"/>
      </top>
      <bottom style="dotted">
        <color theme="8" tint="0.39997558519241921"/>
      </bottom>
      <diagonal/>
    </border>
    <border>
      <left/>
      <right style="hair">
        <color indexed="64"/>
      </right>
      <top/>
      <bottom style="medium">
        <color indexed="53"/>
      </bottom>
      <diagonal/>
    </border>
    <border>
      <left style="medium">
        <color indexed="64"/>
      </left>
      <right style="hair">
        <color indexed="64"/>
      </right>
      <top style="medium">
        <color indexed="53"/>
      </top>
      <bottom style="dotted">
        <color theme="8" tint="0.39997558519241921"/>
      </bottom>
      <diagonal/>
    </border>
    <border>
      <left style="hair">
        <color indexed="64"/>
      </left>
      <right style="medium">
        <color indexed="64"/>
      </right>
      <top style="dotted">
        <color theme="8" tint="0.39997558519241921"/>
      </top>
      <bottom style="medium">
        <color indexed="53"/>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dotted">
        <color theme="4" tint="0.79998168889431442"/>
      </top>
      <bottom style="dotted">
        <color theme="8" tint="0.39997558519241921"/>
      </bottom>
      <diagonal/>
    </border>
    <border>
      <left style="thin">
        <color indexed="64"/>
      </left>
      <right style="thin">
        <color indexed="64"/>
      </right>
      <top style="medium">
        <color indexed="53"/>
      </top>
      <bottom style="dotted">
        <color theme="4" tint="0.79998168889431442"/>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thin">
        <color indexed="64"/>
      </right>
      <top style="dotted">
        <color theme="8" tint="0.39997558519241921"/>
      </top>
      <bottom style="dotted">
        <color theme="4" tint="0.79998168889431442"/>
      </bottom>
      <diagonal/>
    </border>
    <border>
      <left style="thin">
        <color indexed="64"/>
      </left>
      <right style="thin">
        <color indexed="64"/>
      </right>
      <top/>
      <bottom style="dotted">
        <color theme="8" tint="0.39997558519241921"/>
      </bottom>
      <diagonal/>
    </border>
    <border>
      <left style="medium">
        <color indexed="64"/>
      </left>
      <right style="thin">
        <color indexed="64"/>
      </right>
      <top style="dotted">
        <color theme="8" tint="0.39997558519241921"/>
      </top>
      <bottom style="dotted">
        <color theme="4" tint="0.79998168889431442"/>
      </bottom>
      <diagonal/>
    </border>
    <border>
      <left/>
      <right style="thin">
        <color indexed="64"/>
      </right>
      <top/>
      <bottom style="dotted">
        <color theme="8" tint="0.39997558519241921"/>
      </bottom>
      <diagonal/>
    </border>
    <border>
      <left style="thin">
        <color indexed="64"/>
      </left>
      <right style="medium">
        <color indexed="64"/>
      </right>
      <top style="dotted">
        <color theme="8" tint="0.39997558519241921"/>
      </top>
      <bottom style="dotted">
        <color theme="4" tint="0.79998168889431442"/>
      </bottom>
      <diagonal/>
    </border>
    <border>
      <left style="thin">
        <color indexed="64"/>
      </left>
      <right style="medium">
        <color indexed="64"/>
      </right>
      <top/>
      <bottom style="dotted">
        <color theme="8" tint="0.39997558519241921"/>
      </bottom>
      <diagonal/>
    </border>
    <border>
      <left style="thin">
        <color indexed="64"/>
      </left>
      <right style="medium">
        <color indexed="64"/>
      </right>
      <top style="thin">
        <color indexed="64"/>
      </top>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style="dotted">
        <color theme="8" tint="0.39997558519241921"/>
      </top>
      <bottom/>
      <diagonal/>
    </border>
    <border>
      <left style="medium">
        <color indexed="64"/>
      </left>
      <right style="thin">
        <color indexed="64"/>
      </right>
      <top style="dotted">
        <color theme="8" tint="0.39997558519241921"/>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43" fontId="14" fillId="0" borderId="0" applyFont="0" applyFill="0" applyBorder="0" applyAlignment="0" applyProtection="0"/>
    <xf numFmtId="0" fontId="14" fillId="0" borderId="0"/>
    <xf numFmtId="0" fontId="5" fillId="0" borderId="0" applyNumberFormat="0" applyFill="0" applyBorder="0" applyAlignment="0" applyProtection="0"/>
  </cellStyleXfs>
  <cellXfs count="871">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43" fontId="4" fillId="0" borderId="0" xfId="1" applyFont="1" applyProtection="1">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43"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8" xfId="6" applyFont="1" applyBorder="1" applyAlignment="1" applyProtection="1">
      <alignment shrinkToFit="1"/>
      <protection locked="0"/>
    </xf>
    <xf numFmtId="44" fontId="8" fillId="0" borderId="0" xfId="2" applyFont="1" applyAlignment="1" applyProtection="1">
      <alignment horizontal="centerContinuous"/>
      <protection locked="0"/>
    </xf>
    <xf numFmtId="44"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43" fontId="15" fillId="0" borderId="0" xfId="1" applyFont="1" applyProtection="1">
      <protection locked="0"/>
    </xf>
    <xf numFmtId="43"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43" fontId="4" fillId="0" borderId="0" xfId="1" applyFont="1" applyAlignment="1" applyProtection="1">
      <alignment horizontal="center"/>
      <protection locked="0"/>
    </xf>
    <xf numFmtId="43" fontId="4" fillId="0" borderId="0" xfId="0" applyNumberFormat="1" applyFont="1" applyAlignment="1" applyProtection="1">
      <alignment horizontal="center"/>
      <protection locked="0"/>
    </xf>
    <xf numFmtId="43" fontId="10" fillId="0" borderId="6" xfId="1" applyFont="1" applyBorder="1" applyAlignment="1" applyProtection="1">
      <alignment horizontal="center" shrinkToFit="1"/>
      <protection locked="0"/>
    </xf>
    <xf numFmtId="43" fontId="10" fillId="0" borderId="8" xfId="1" applyFont="1" applyBorder="1" applyAlignment="1" applyProtection="1">
      <alignment horizontal="center" shrinkToFit="1"/>
      <protection locked="0"/>
    </xf>
    <xf numFmtId="43" fontId="4" fillId="0" borderId="4" xfId="1" applyFont="1" applyBorder="1" applyAlignment="1" applyProtection="1">
      <alignment horizont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43" fontId="2" fillId="0" borderId="0" xfId="1" applyFont="1" applyBorder="1" applyAlignment="1" applyProtection="1">
      <alignment horizontal="centerContinuous"/>
      <protection locked="0"/>
    </xf>
    <xf numFmtId="43" fontId="7" fillId="0" borderId="0" xfId="1" applyFont="1" applyAlignment="1" applyProtection="1">
      <alignment horizontal="centerContinuous" vertical="center"/>
      <protection locked="0"/>
    </xf>
    <xf numFmtId="43" fontId="10" fillId="0" borderId="8" xfId="1" applyFont="1" applyBorder="1" applyAlignment="1" applyProtection="1">
      <alignment shrinkToFit="1"/>
      <protection locked="0"/>
    </xf>
    <xf numFmtId="43" fontId="4" fillId="0" borderId="4" xfId="1" applyFont="1" applyBorder="1" applyAlignment="1" applyProtection="1">
      <alignment horizontal="left"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43" fontId="22" fillId="0" borderId="0" xfId="11" applyFont="1"/>
    <xf numFmtId="0" fontId="22" fillId="0" borderId="0" xfId="10" applyFont="1"/>
    <xf numFmtId="0" fontId="22" fillId="9" borderId="13" xfId="10" applyFont="1" applyFill="1" applyBorder="1" applyAlignment="1">
      <alignment horizontal="center" vertical="center"/>
    </xf>
    <xf numFmtId="43" fontId="16" fillId="9" borderId="13" xfId="11" applyFont="1" applyFill="1" applyBorder="1" applyAlignment="1">
      <alignment horizontal="center" vertical="center"/>
    </xf>
    <xf numFmtId="43" fontId="16" fillId="9" borderId="13" xfId="11" applyFont="1" applyFill="1" applyBorder="1" applyAlignment="1">
      <alignment horizontal="center" vertical="center" wrapText="1"/>
    </xf>
    <xf numFmtId="43" fontId="22" fillId="9" borderId="13" xfId="11" applyFont="1" applyFill="1" applyBorder="1" applyAlignment="1">
      <alignment horizontal="center" vertical="center" wrapText="1"/>
    </xf>
    <xf numFmtId="0" fontId="22" fillId="0" borderId="4" xfId="10" applyFont="1" applyBorder="1" applyAlignment="1">
      <alignment horizontal="center"/>
    </xf>
    <xf numFmtId="164" fontId="22" fillId="0" borderId="0" xfId="10" applyNumberFormat="1" applyFont="1"/>
    <xf numFmtId="0" fontId="22" fillId="0" borderId="17" xfId="10" applyFont="1" applyBorder="1"/>
    <xf numFmtId="0" fontId="22" fillId="5" borderId="4" xfId="10" applyFont="1" applyFill="1" applyBorder="1" applyAlignment="1">
      <alignment horizontal="center"/>
    </xf>
    <xf numFmtId="43"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43" fontId="16" fillId="6" borderId="12" xfId="11" applyFont="1" applyFill="1" applyBorder="1"/>
    <xf numFmtId="0" fontId="13" fillId="0" borderId="0" xfId="12" applyFont="1"/>
    <xf numFmtId="43" fontId="13" fillId="0" borderId="13" xfId="11" applyFont="1" applyBorder="1"/>
    <xf numFmtId="43" fontId="22" fillId="0" borderId="0" xfId="11" applyFont="1" applyFill="1" applyBorder="1"/>
    <xf numFmtId="0" fontId="8" fillId="0" borderId="0" xfId="12" applyFont="1" applyAlignment="1">
      <alignment horizontal="center"/>
    </xf>
    <xf numFmtId="0" fontId="8" fillId="0" borderId="0" xfId="12" applyFont="1"/>
    <xf numFmtId="43"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43" fontId="24" fillId="0" borderId="0" xfId="11" applyFont="1" applyAlignment="1">
      <alignment horizontal="left" indent="1"/>
    </xf>
    <xf numFmtId="43"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0" xfId="10" applyFont="1" applyFill="1" applyBorder="1" applyAlignment="1">
      <alignment horizontal="center"/>
    </xf>
    <xf numFmtId="43"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43" fontId="11" fillId="5" borderId="13" xfId="11" applyFont="1" applyFill="1" applyBorder="1"/>
    <xf numFmtId="49" fontId="25" fillId="0" borderId="0" xfId="10" applyNumberFormat="1" applyFont="1"/>
    <xf numFmtId="164" fontId="26" fillId="0" borderId="0" xfId="10" applyNumberFormat="1" applyFont="1"/>
    <xf numFmtId="164"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8" fillId="0" borderId="0" xfId="10" applyFont="1"/>
    <xf numFmtId="43" fontId="28" fillId="0" borderId="0" xfId="11" applyFont="1"/>
    <xf numFmtId="43" fontId="30" fillId="0" borderId="13" xfId="11" applyFont="1" applyBorder="1"/>
    <xf numFmtId="43" fontId="28" fillId="0" borderId="0" xfId="11" applyFont="1" applyFill="1"/>
    <xf numFmtId="0" fontId="28" fillId="0" borderId="13" xfId="12" applyFont="1" applyBorder="1" applyAlignment="1">
      <alignment horizontal="center"/>
    </xf>
    <xf numFmtId="43" fontId="28" fillId="0" borderId="13" xfId="11" applyFont="1" applyBorder="1" applyAlignment="1">
      <alignment horizontal="center"/>
    </xf>
    <xf numFmtId="0" fontId="30" fillId="0" borderId="0" xfId="12" applyFont="1"/>
    <xf numFmtId="43" fontId="30" fillId="0" borderId="13" xfId="11" applyFont="1" applyFill="1" applyBorder="1"/>
    <xf numFmtId="9" fontId="30" fillId="0" borderId="13" xfId="9" applyFont="1" applyBorder="1" applyAlignment="1">
      <alignment horizontal="center"/>
    </xf>
    <xf numFmtId="43" fontId="30" fillId="0" borderId="0" xfId="9" applyNumberFormat="1" applyFont="1"/>
    <xf numFmtId="0" fontId="30" fillId="0" borderId="13" xfId="12" applyFont="1" applyBorder="1" applyAlignment="1">
      <alignment horizontal="left"/>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20" xfId="12" applyFont="1" applyBorder="1" applyAlignment="1">
      <alignment horizontal="left"/>
    </xf>
    <xf numFmtId="0" fontId="30" fillId="0" borderId="4" xfId="12" applyFont="1" applyBorder="1" applyAlignment="1">
      <alignment horizontal="left"/>
    </xf>
    <xf numFmtId="164" fontId="30" fillId="0" borderId="0" xfId="12" applyNumberFormat="1" applyFont="1"/>
    <xf numFmtId="43" fontId="41"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43" fontId="41"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4" xfId="8" applyFont="1" applyBorder="1" applyAlignment="1" applyProtection="1">
      <alignment horizontal="center" vertical="center" wrapText="1"/>
      <protection locked="0"/>
    </xf>
    <xf numFmtId="0" fontId="8" fillId="0" borderId="30" xfId="0" applyFont="1" applyBorder="1" applyAlignment="1" applyProtection="1">
      <alignment horizontal="centerContinuous"/>
      <protection locked="0"/>
    </xf>
    <xf numFmtId="0" fontId="8" fillId="0" borderId="31" xfId="0" applyFont="1" applyBorder="1" applyAlignment="1" applyProtection="1">
      <alignment horizontal="centerContinuous"/>
      <protection locked="0"/>
    </xf>
    <xf numFmtId="0" fontId="8" fillId="0" borderId="32" xfId="0" applyFont="1" applyBorder="1" applyAlignment="1" applyProtection="1">
      <alignment horizontal="centerContinuous"/>
      <protection locked="0"/>
    </xf>
    <xf numFmtId="0" fontId="8" fillId="0" borderId="32" xfId="0" applyFont="1" applyBorder="1" applyAlignment="1" applyProtection="1">
      <alignment horizontal="center"/>
      <protection locked="0"/>
    </xf>
    <xf numFmtId="43" fontId="8" fillId="0" borderId="32" xfId="0" applyNumberFormat="1" applyFont="1" applyBorder="1" applyAlignment="1" applyProtection="1">
      <alignment horizontal="centerContinuous"/>
      <protection locked="0"/>
    </xf>
    <xf numFmtId="0" fontId="43" fillId="0" borderId="0" xfId="0" applyFont="1"/>
    <xf numFmtId="43" fontId="4" fillId="0" borderId="8" xfId="1" applyFont="1" applyBorder="1" applyAlignment="1">
      <alignment horizontal="center"/>
    </xf>
    <xf numFmtId="43" fontId="4" fillId="0" borderId="4" xfId="1" applyFont="1" applyBorder="1" applyAlignment="1">
      <alignment horizontal="center"/>
    </xf>
    <xf numFmtId="0" fontId="10" fillId="0" borderId="4" xfId="6" applyFont="1" applyBorder="1" applyAlignment="1" applyProtection="1">
      <alignment horizontal="center" shrinkToFit="1"/>
      <protection locked="0"/>
    </xf>
    <xf numFmtId="43"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43" fontId="10" fillId="0" borderId="7" xfId="1" applyFont="1" applyBorder="1" applyAlignment="1" applyProtection="1">
      <alignment horizontal="center" shrinkToFit="1"/>
      <protection locked="0"/>
    </xf>
    <xf numFmtId="164"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0" fillId="5" borderId="25" xfId="6" applyFont="1" applyFill="1" applyBorder="1" applyAlignment="1" applyProtection="1">
      <alignment horizontal="center"/>
      <protection locked="0"/>
    </xf>
    <xf numFmtId="0" fontId="40"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0" fillId="5" borderId="26" xfId="6" applyFont="1" applyFill="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0" fillId="5" borderId="9" xfId="6" applyFont="1" applyFill="1" applyBorder="1" applyAlignment="1" applyProtection="1">
      <alignment horizontal="center"/>
      <protection locked="0"/>
    </xf>
    <xf numFmtId="43"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43" fontId="28" fillId="0" borderId="34" xfId="11" applyFont="1" applyFill="1" applyBorder="1" applyAlignment="1">
      <alignment horizontal="center"/>
    </xf>
    <xf numFmtId="0" fontId="13" fillId="0" borderId="34" xfId="10" applyFont="1" applyBorder="1" applyAlignment="1">
      <alignment horizontal="left"/>
    </xf>
    <xf numFmtId="0" fontId="13" fillId="0" borderId="35" xfId="10" applyFont="1" applyBorder="1" applyAlignment="1">
      <alignment horizontal="left"/>
    </xf>
    <xf numFmtId="43" fontId="8" fillId="0" borderId="32" xfId="0" applyNumberFormat="1" applyFont="1" applyBorder="1" applyAlignment="1" applyProtection="1">
      <alignment horizontal="left"/>
      <protection locked="0"/>
    </xf>
    <xf numFmtId="164" fontId="44" fillId="0" borderId="0" xfId="10" applyNumberFormat="1" applyFont="1"/>
    <xf numFmtId="43" fontId="8" fillId="10" borderId="32"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13" fillId="0" borderId="36" xfId="10" applyFont="1" applyBorder="1" applyAlignment="1">
      <alignment horizontal="left"/>
    </xf>
    <xf numFmtId="0" fontId="13" fillId="0" borderId="37" xfId="10" applyFont="1" applyBorder="1" applyAlignment="1">
      <alignment horizontal="left"/>
    </xf>
    <xf numFmtId="4" fontId="10" fillId="11" borderId="38" xfId="7" applyNumberFormat="1" applyFont="1" applyFill="1" applyBorder="1" applyAlignment="1" applyProtection="1">
      <alignment horizontal="center"/>
      <protection hidden="1"/>
    </xf>
    <xf numFmtId="0" fontId="4" fillId="0" borderId="40"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43" fontId="8" fillId="0" borderId="31"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43" fontId="8" fillId="0" borderId="32" xfId="0" applyNumberFormat="1" applyFont="1" applyBorder="1" applyAlignment="1" applyProtection="1">
      <alignment horizontal="center"/>
      <protection locked="0"/>
    </xf>
    <xf numFmtId="43" fontId="10" fillId="0" borderId="7" xfId="1" applyFont="1" applyFill="1" applyBorder="1" applyAlignment="1" applyProtection="1">
      <alignment horizontal="center" shrinkToFit="1"/>
      <protection locked="0"/>
    </xf>
    <xf numFmtId="43" fontId="6" fillId="0" borderId="0" xfId="1" applyFont="1" applyAlignment="1" applyProtection="1">
      <alignment horizontal="center"/>
      <protection locked="0"/>
    </xf>
    <xf numFmtId="9" fontId="6" fillId="0" borderId="0" xfId="9" applyFont="1" applyAlignment="1" applyProtection="1">
      <alignment horizontal="center"/>
      <protection locked="0"/>
    </xf>
    <xf numFmtId="43" fontId="45" fillId="0" borderId="0" xfId="1" applyFont="1" applyAlignment="1" applyProtection="1">
      <alignment horizontal="center"/>
      <protection locked="0"/>
    </xf>
    <xf numFmtId="43" fontId="45" fillId="0" borderId="0" xfId="1" applyFont="1" applyProtection="1">
      <protection locked="0"/>
    </xf>
    <xf numFmtId="0" fontId="8" fillId="0" borderId="0" xfId="10" applyFont="1"/>
    <xf numFmtId="9" fontId="37" fillId="7" borderId="0" xfId="9" applyFont="1" applyFill="1" applyAlignment="1">
      <alignment horizontal="center"/>
    </xf>
    <xf numFmtId="43" fontId="8" fillId="0" borderId="0" xfId="11" applyFont="1"/>
    <xf numFmtId="0" fontId="46" fillId="4" borderId="24" xfId="8" applyFont="1" applyBorder="1" applyAlignment="1" applyProtection="1">
      <alignment horizontal="center" vertical="center" wrapText="1"/>
      <protection locked="0"/>
    </xf>
    <xf numFmtId="43" fontId="46" fillId="12" borderId="4" xfId="1" applyFont="1" applyFill="1" applyBorder="1" applyAlignment="1" applyProtection="1">
      <alignment horizontal="center" vertical="center" wrapText="1"/>
      <protection locked="0"/>
    </xf>
    <xf numFmtId="4" fontId="46" fillId="12" borderId="4" xfId="8" applyNumberFormat="1" applyFont="1" applyFill="1" applyBorder="1" applyAlignment="1" applyProtection="1">
      <alignment horizontal="center" vertical="center" wrapText="1"/>
      <protection locked="0"/>
    </xf>
    <xf numFmtId="4" fontId="50" fillId="13" borderId="4" xfId="8" applyNumberFormat="1" applyFont="1" applyFill="1" applyBorder="1" applyAlignment="1" applyProtection="1">
      <alignment horizontal="center" vertical="center" wrapText="1"/>
      <protection hidden="1"/>
    </xf>
    <xf numFmtId="4" fontId="10" fillId="0" borderId="7" xfId="7" applyNumberFormat="1" applyFont="1" applyFill="1" applyBorder="1" applyAlignment="1" applyProtection="1">
      <alignment horizontal="center"/>
      <protection hidden="1"/>
    </xf>
    <xf numFmtId="4" fontId="10" fillId="0" borderId="4" xfId="7" applyNumberFormat="1" applyFont="1" applyFill="1" applyBorder="1" applyAlignment="1" applyProtection="1">
      <alignment horizontal="center"/>
      <protection hidden="1"/>
    </xf>
    <xf numFmtId="0" fontId="4" fillId="0" borderId="6" xfId="0" applyFont="1" applyBorder="1" applyAlignment="1" applyProtection="1">
      <alignment horizontal="center"/>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51" fillId="0" borderId="0" xfId="0" applyFont="1" applyProtection="1">
      <protection locked="0"/>
    </xf>
    <xf numFmtId="0" fontId="13" fillId="0" borderId="45" xfId="12" applyFont="1" applyBorder="1" applyAlignment="1">
      <alignment horizontal="center"/>
    </xf>
    <xf numFmtId="9" fontId="13" fillId="0" borderId="45" xfId="9" applyFont="1" applyBorder="1" applyAlignment="1">
      <alignment horizontal="center"/>
    </xf>
    <xf numFmtId="43" fontId="13" fillId="0" borderId="45" xfId="12" applyNumberFormat="1" applyFont="1" applyBorder="1" applyAlignment="1">
      <alignment horizontal="center"/>
    </xf>
    <xf numFmtId="0" fontId="22" fillId="0" borderId="0" xfId="10" applyFont="1" applyAlignment="1"/>
    <xf numFmtId="0" fontId="30" fillId="5" borderId="4" xfId="10" applyFont="1" applyFill="1" applyBorder="1" applyAlignment="1">
      <alignment horizontal="center"/>
    </xf>
    <xf numFmtId="0" fontId="22" fillId="0" borderId="17" xfId="10" applyFont="1" applyBorder="1" applyAlignment="1"/>
    <xf numFmtId="41" fontId="13" fillId="5" borderId="4" xfId="10" applyNumberFormat="1" applyFont="1" applyFill="1" applyBorder="1" applyAlignment="1">
      <alignment horizontal="center"/>
    </xf>
    <xf numFmtId="0" fontId="22" fillId="0" borderId="0" xfId="10" applyFont="1" applyBorder="1" applyAlignment="1"/>
    <xf numFmtId="0" fontId="32" fillId="0" borderId="13" xfId="12" applyFont="1" applyBorder="1"/>
    <xf numFmtId="0" fontId="32" fillId="0" borderId="34" xfId="12" applyFont="1" applyBorder="1"/>
    <xf numFmtId="0" fontId="32" fillId="0" borderId="36" xfId="12" applyFont="1" applyBorder="1"/>
    <xf numFmtId="0" fontId="22" fillId="0" borderId="0" xfId="12" applyFont="1"/>
    <xf numFmtId="43" fontId="13" fillId="0" borderId="0" xfId="11" applyFont="1" applyBorder="1" applyAlignment="1"/>
    <xf numFmtId="43" fontId="22" fillId="0" borderId="0" xfId="11" applyFont="1" applyFill="1" applyBorder="1" applyAlignment="1"/>
    <xf numFmtId="43" fontId="13" fillId="11" borderId="0" xfId="11" applyFont="1" applyFill="1" applyAlignment="1"/>
    <xf numFmtId="43" fontId="22" fillId="0" borderId="0" xfId="11" applyFont="1" applyAlignment="1"/>
    <xf numFmtId="43" fontId="13" fillId="0" borderId="0" xfId="11" applyFont="1" applyAlignment="1"/>
    <xf numFmtId="0" fontId="32" fillId="0" borderId="45" xfId="12" applyFont="1" applyBorder="1"/>
    <xf numFmtId="0" fontId="13" fillId="0" borderId="46" xfId="10" applyFont="1" applyBorder="1" applyAlignment="1">
      <alignment horizontal="left"/>
    </xf>
    <xf numFmtId="0" fontId="13" fillId="0" borderId="47" xfId="10" applyFont="1" applyBorder="1" applyAlignment="1">
      <alignment horizontal="left"/>
    </xf>
    <xf numFmtId="9" fontId="52" fillId="17" borderId="0" xfId="0" applyNumberFormat="1" applyFont="1" applyFill="1" applyAlignment="1">
      <alignment horizontal="center"/>
    </xf>
    <xf numFmtId="9" fontId="30" fillId="0" borderId="46" xfId="9" applyFont="1" applyBorder="1" applyAlignment="1">
      <alignment horizontal="center"/>
    </xf>
    <xf numFmtId="43" fontId="13" fillId="0" borderId="46" xfId="12" applyNumberFormat="1" applyFont="1" applyBorder="1" applyAlignment="1">
      <alignment horizontal="center"/>
    </xf>
    <xf numFmtId="0" fontId="13" fillId="0" borderId="44" xfId="12" applyFont="1" applyBorder="1" applyAlignment="1">
      <alignment horizontal="center"/>
    </xf>
    <xf numFmtId="0" fontId="30" fillId="0" borderId="46" xfId="12" applyFont="1" applyBorder="1" applyAlignment="1">
      <alignment horizontal="left"/>
    </xf>
    <xf numFmtId="0" fontId="32" fillId="0" borderId="46" xfId="12" applyFont="1" applyBorder="1"/>
    <xf numFmtId="164" fontId="13" fillId="0" borderId="46" xfId="12" applyNumberFormat="1" applyFont="1" applyBorder="1" applyAlignment="1">
      <alignment horizontal="center"/>
    </xf>
    <xf numFmtId="0" fontId="13" fillId="0" borderId="46" xfId="12" applyFont="1" applyBorder="1" applyAlignment="1">
      <alignment horizontal="center"/>
    </xf>
    <xf numFmtId="9" fontId="13" fillId="0" borderId="46" xfId="9" applyFont="1" applyBorder="1" applyAlignment="1">
      <alignment horizontal="center"/>
    </xf>
    <xf numFmtId="0" fontId="4" fillId="0" borderId="0" xfId="12" applyFont="1" applyAlignment="1">
      <alignment vertical="center"/>
    </xf>
    <xf numFmtId="43" fontId="4" fillId="0" borderId="10" xfId="1" applyFont="1" applyBorder="1" applyAlignment="1" applyProtection="1">
      <alignment horizontal="left" shrinkToFit="1"/>
      <protection locked="0"/>
    </xf>
    <xf numFmtId="0" fontId="4" fillId="0" borderId="41"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42"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43" xfId="0" applyFont="1" applyBorder="1" applyAlignment="1" applyProtection="1">
      <alignment horizontal="center"/>
      <protection locked="0"/>
    </xf>
    <xf numFmtId="43" fontId="22" fillId="10" borderId="0" xfId="11" applyFont="1" applyFill="1" applyBorder="1"/>
    <xf numFmtId="0" fontId="8" fillId="19" borderId="45" xfId="12" applyFont="1" applyFill="1" applyBorder="1" applyAlignment="1">
      <alignment horizontal="center" vertical="center"/>
    </xf>
    <xf numFmtId="0" fontId="37" fillId="19" borderId="12" xfId="12" applyFont="1" applyFill="1" applyBorder="1"/>
    <xf numFmtId="0" fontId="37" fillId="19" borderId="18" xfId="12" applyFont="1" applyFill="1" applyBorder="1"/>
    <xf numFmtId="0" fontId="37" fillId="19" borderId="19" xfId="12" applyFont="1" applyFill="1" applyBorder="1"/>
    <xf numFmtId="0" fontId="8" fillId="19" borderId="46" xfId="12" applyFont="1" applyFill="1" applyBorder="1" applyAlignment="1">
      <alignment horizontal="center" vertical="center"/>
    </xf>
    <xf numFmtId="43" fontId="8" fillId="19" borderId="46" xfId="11" applyFont="1" applyFill="1" applyBorder="1" applyAlignment="1">
      <alignment horizontal="center" vertical="center"/>
    </xf>
    <xf numFmtId="0" fontId="8" fillId="19" borderId="46" xfId="12" applyFont="1" applyFill="1" applyBorder="1" applyAlignment="1">
      <alignment horizontal="center" vertical="center" wrapText="1"/>
    </xf>
    <xf numFmtId="0" fontId="8" fillId="19" borderId="44" xfId="12" applyFont="1" applyFill="1" applyBorder="1" applyAlignment="1">
      <alignment horizontal="center" vertical="center"/>
    </xf>
    <xf numFmtId="43" fontId="46" fillId="20" borderId="4" xfId="1" applyFont="1" applyFill="1" applyBorder="1" applyAlignment="1" applyProtection="1">
      <alignment horizontal="center" vertical="center" wrapText="1"/>
      <protection locked="0"/>
    </xf>
    <xf numFmtId="43" fontId="10" fillId="0" borderId="6" xfId="1" applyFont="1" applyBorder="1" applyAlignment="1" applyProtection="1">
      <alignment shrinkToFit="1"/>
      <protection locked="0"/>
    </xf>
    <xf numFmtId="0" fontId="10" fillId="12" borderId="24"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43" fontId="13" fillId="0" borderId="46" xfId="9" applyNumberFormat="1" applyFont="1" applyBorder="1" applyAlignment="1">
      <alignment horizontal="center"/>
    </xf>
    <xf numFmtId="43" fontId="13" fillId="0" borderId="46" xfId="11" applyFont="1" applyBorder="1" applyAlignment="1"/>
    <xf numFmtId="43" fontId="13" fillId="0" borderId="46" xfId="11" applyFont="1" applyFill="1" applyBorder="1" applyAlignment="1"/>
    <xf numFmtId="43" fontId="13" fillId="0" borderId="46" xfId="1" applyFont="1" applyBorder="1" applyAlignment="1"/>
    <xf numFmtId="43" fontId="13" fillId="0" borderId="46" xfId="12" applyNumberFormat="1" applyFont="1" applyBorder="1"/>
    <xf numFmtId="43" fontId="13" fillId="18" borderId="46" xfId="9" applyNumberFormat="1" applyFont="1" applyFill="1" applyBorder="1" applyAlignment="1"/>
    <xf numFmtId="43" fontId="13" fillId="0" borderId="46" xfId="9" applyNumberFormat="1" applyFont="1" applyFill="1" applyBorder="1" applyAlignment="1">
      <alignment horizontal="center"/>
    </xf>
    <xf numFmtId="0" fontId="23" fillId="0" borderId="46" xfId="12" applyFont="1" applyBorder="1"/>
    <xf numFmtId="10" fontId="13" fillId="0" borderId="46" xfId="9" applyNumberFormat="1" applyFont="1" applyBorder="1" applyAlignment="1">
      <alignment horizontal="center"/>
    </xf>
    <xf numFmtId="43" fontId="22" fillId="0" borderId="46" xfId="11" applyFont="1" applyFill="1" applyBorder="1" applyAlignment="1"/>
    <xf numFmtId="43" fontId="22" fillId="10" borderId="46" xfId="11" applyFont="1" applyFill="1" applyBorder="1" applyAlignment="1"/>
    <xf numFmtId="0" fontId="13" fillId="0" borderId="46" xfId="12" applyFont="1" applyBorder="1"/>
    <xf numFmtId="43" fontId="10" fillId="0" borderId="6" xfId="1" applyFont="1" applyBorder="1" applyAlignment="1" applyProtection="1">
      <alignment horizontal="right" wrapText="1" shrinkToFit="1"/>
      <protection locked="0"/>
    </xf>
    <xf numFmtId="0" fontId="36" fillId="0" borderId="4" xfId="6" applyFont="1" applyBorder="1" applyAlignment="1" applyProtection="1">
      <alignment horizontal="left" wrapText="1" shrinkToFit="1"/>
      <protection locked="0"/>
    </xf>
    <xf numFmtId="43"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27"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28" xfId="6" applyFont="1" applyBorder="1" applyAlignment="1" applyProtection="1">
      <alignment horizontal="center"/>
      <protection locked="0"/>
    </xf>
    <xf numFmtId="0" fontId="40" fillId="5" borderId="29"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6" fillId="4" borderId="22" xfId="8" applyFont="1" applyBorder="1" applyAlignment="1" applyProtection="1">
      <alignment horizontal="center" vertical="center" wrapText="1"/>
      <protection locked="0"/>
    </xf>
    <xf numFmtId="0" fontId="46" fillId="4" borderId="23" xfId="8" applyFont="1" applyBorder="1" applyAlignment="1" applyProtection="1">
      <alignment horizontal="center" vertical="center" wrapText="1"/>
      <protection locked="0"/>
    </xf>
    <xf numFmtId="43" fontId="46" fillId="4" borderId="24" xfId="1" applyFont="1" applyFill="1" applyBorder="1" applyAlignment="1" applyProtection="1">
      <alignment horizontal="center" vertical="center" wrapText="1"/>
      <protection locked="0"/>
    </xf>
    <xf numFmtId="0" fontId="46" fillId="4" borderId="24" xfId="1" applyNumberFormat="1" applyFont="1" applyFill="1" applyBorder="1" applyAlignment="1" applyProtection="1">
      <alignment horizontal="center" vertical="center" wrapText="1"/>
      <protection locked="0"/>
    </xf>
    <xf numFmtId="43" fontId="46" fillId="12" borderId="24" xfId="1" applyFont="1" applyFill="1" applyBorder="1" applyAlignment="1" applyProtection="1">
      <alignment horizontal="center" vertical="center" wrapText="1"/>
      <protection locked="0"/>
    </xf>
    <xf numFmtId="164" fontId="4" fillId="0" borderId="4" xfId="1" applyNumberFormat="1" applyFont="1" applyBorder="1" applyAlignment="1" applyProtection="1">
      <protection locked="0"/>
    </xf>
    <xf numFmtId="43" fontId="4" fillId="0" borderId="4" xfId="1" applyFont="1" applyBorder="1" applyAlignment="1" applyProtection="1">
      <protection locked="0"/>
    </xf>
    <xf numFmtId="0" fontId="4" fillId="5" borderId="26" xfId="6" applyFont="1" applyFill="1" applyBorder="1" applyAlignment="1" applyProtection="1">
      <alignment horizontal="center"/>
      <protection locked="0"/>
    </xf>
    <xf numFmtId="0" fontId="4" fillId="5" borderId="3" xfId="6" applyFont="1" applyFill="1" applyBorder="1" applyAlignment="1" applyProtection="1">
      <alignment horizontal="center"/>
      <protection locked="0"/>
    </xf>
    <xf numFmtId="4" fontId="4" fillId="3" borderId="4" xfId="7" applyNumberFormat="1" applyFont="1" applyBorder="1" applyAlignment="1" applyProtection="1">
      <protection hidden="1"/>
    </xf>
    <xf numFmtId="0" fontId="4" fillId="0" borderId="0" xfId="6" applyFont="1" applyBorder="1" applyAlignment="1" applyProtection="1">
      <protection locked="0"/>
    </xf>
    <xf numFmtId="0" fontId="4" fillId="0" borderId="4" xfId="6" applyFont="1" applyBorder="1" applyAlignment="1" applyProtection="1">
      <alignment horizontal="left" shrinkToFit="1"/>
      <protection locked="0"/>
    </xf>
    <xf numFmtId="0" fontId="4" fillId="0" borderId="4" xfId="6" applyFont="1" applyFill="1" applyBorder="1" applyAlignment="1" applyProtection="1">
      <alignment horizontal="center" shrinkToFit="1"/>
      <protection locked="0"/>
    </xf>
    <xf numFmtId="0" fontId="10" fillId="0" borderId="22" xfId="6" applyFont="1" applyBorder="1" applyAlignment="1" applyProtection="1">
      <alignment horizontal="center"/>
      <protection locked="0"/>
    </xf>
    <xf numFmtId="0" fontId="10" fillId="11" borderId="23" xfId="6" applyFont="1" applyFill="1" applyBorder="1" applyAlignment="1" applyProtection="1">
      <alignment horizontal="center"/>
      <protection locked="0"/>
    </xf>
    <xf numFmtId="0" fontId="10" fillId="0" borderId="24" xfId="6" applyFont="1" applyBorder="1" applyAlignment="1" applyProtection="1">
      <alignment shrinkToFit="1"/>
      <protection locked="0"/>
    </xf>
    <xf numFmtId="0" fontId="10" fillId="0" borderId="24" xfId="6" applyFont="1" applyBorder="1" applyAlignment="1" applyProtection="1">
      <alignment horizontal="center" shrinkToFit="1"/>
      <protection locked="0"/>
    </xf>
    <xf numFmtId="43" fontId="10" fillId="0" borderId="24" xfId="1" applyFont="1" applyBorder="1" applyAlignment="1" applyProtection="1">
      <alignment horizontal="center" shrinkToFit="1"/>
      <protection locked="0"/>
    </xf>
    <xf numFmtId="17" fontId="10" fillId="0" borderId="48" xfId="1" quotePrefix="1" applyNumberFormat="1" applyFont="1" applyBorder="1" applyAlignment="1" applyProtection="1">
      <alignment horizontal="center" shrinkToFit="1"/>
      <protection locked="0"/>
    </xf>
    <xf numFmtId="43" fontId="10" fillId="0" borderId="48" xfId="1" applyFont="1" applyBorder="1" applyAlignment="1" applyProtection="1">
      <alignment horizontal="center" shrinkToFit="1"/>
      <protection locked="0"/>
    </xf>
    <xf numFmtId="43" fontId="10" fillId="0" borderId="24" xfId="1" applyFont="1" applyBorder="1" applyAlignment="1" applyProtection="1">
      <alignment shrinkToFit="1"/>
      <protection locked="0"/>
    </xf>
    <xf numFmtId="164" fontId="4" fillId="5" borderId="48" xfId="1" applyNumberFormat="1" applyFont="1" applyFill="1" applyBorder="1" applyAlignment="1" applyProtection="1">
      <protection locked="0"/>
    </xf>
    <xf numFmtId="43" fontId="10" fillId="0" borderId="48" xfId="1" applyFont="1" applyBorder="1" applyAlignment="1" applyProtection="1">
      <alignment shrinkToFit="1"/>
      <protection locked="0"/>
    </xf>
    <xf numFmtId="164" fontId="4" fillId="5" borderId="24" xfId="1" applyNumberFormat="1" applyFont="1" applyFill="1" applyBorder="1" applyAlignment="1" applyProtection="1">
      <protection locked="0"/>
    </xf>
    <xf numFmtId="43" fontId="10" fillId="0" borderId="24" xfId="1" applyFont="1" applyBorder="1" applyAlignment="1" applyProtection="1">
      <alignment horizontal="right" wrapText="1" shrinkToFit="1"/>
      <protection locked="0"/>
    </xf>
    <xf numFmtId="4" fontId="10" fillId="3" borderId="24" xfId="7" applyNumberFormat="1" applyFont="1" applyBorder="1" applyAlignment="1" applyProtection="1">
      <protection hidden="1"/>
    </xf>
    <xf numFmtId="0" fontId="4" fillId="0" borderId="48" xfId="0" applyFont="1" applyBorder="1" applyAlignment="1" applyProtection="1">
      <alignment horizontal="center"/>
      <protection locked="0"/>
    </xf>
    <xf numFmtId="4" fontId="4" fillId="0" borderId="24"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4" fillId="0" borderId="49" xfId="0" applyFont="1" applyBorder="1" applyProtection="1">
      <protection locked="0"/>
    </xf>
    <xf numFmtId="0" fontId="4" fillId="0" borderId="39" xfId="0" applyFont="1" applyBorder="1" applyProtection="1">
      <protection locked="0"/>
    </xf>
    <xf numFmtId="0" fontId="4" fillId="5" borderId="30" xfId="6" applyFont="1" applyFill="1" applyBorder="1" applyAlignment="1" applyProtection="1">
      <alignment horizontal="center"/>
      <protection locked="0"/>
    </xf>
    <xf numFmtId="0" fontId="4" fillId="5" borderId="31" xfId="6" applyFont="1" applyFill="1" applyBorder="1" applyAlignment="1" applyProtection="1">
      <alignment horizontal="center"/>
      <protection locked="0"/>
    </xf>
    <xf numFmtId="49" fontId="4" fillId="0" borderId="32" xfId="6" applyNumberFormat="1" applyFont="1" applyBorder="1" applyAlignment="1" applyProtection="1">
      <alignment horizontal="left" shrinkToFit="1"/>
      <protection locked="0"/>
    </xf>
    <xf numFmtId="49" fontId="4" fillId="0" borderId="32" xfId="6" applyNumberFormat="1" applyFont="1" applyBorder="1" applyAlignment="1" applyProtection="1">
      <alignment horizontal="center" shrinkToFit="1"/>
      <protection locked="0"/>
    </xf>
    <xf numFmtId="43" fontId="4" fillId="0" borderId="32" xfId="1" applyFont="1" applyBorder="1" applyAlignment="1" applyProtection="1">
      <alignment horizontal="center" shrinkToFit="1"/>
      <protection locked="0"/>
    </xf>
    <xf numFmtId="0" fontId="4" fillId="0" borderId="32" xfId="1" applyNumberFormat="1" applyFont="1" applyBorder="1" applyAlignment="1" applyProtection="1">
      <alignment horizontal="center" shrinkToFit="1"/>
      <protection locked="0"/>
    </xf>
    <xf numFmtId="43" fontId="4" fillId="0" borderId="32" xfId="1" applyFont="1" applyBorder="1" applyAlignment="1" applyProtection="1">
      <alignment horizontal="left" shrinkToFit="1"/>
      <protection locked="0"/>
    </xf>
    <xf numFmtId="4" fontId="4" fillId="0" borderId="32" xfId="1" applyNumberFormat="1" applyFont="1" applyBorder="1" applyAlignment="1" applyProtection="1">
      <protection locked="0"/>
    </xf>
    <xf numFmtId="4" fontId="4" fillId="3" borderId="32" xfId="7" applyNumberFormat="1" applyFont="1" applyBorder="1" applyAlignment="1" applyProtection="1">
      <protection hidden="1"/>
    </xf>
    <xf numFmtId="14" fontId="4" fillId="0" borderId="32" xfId="0" applyNumberFormat="1" applyFont="1" applyBorder="1" applyAlignment="1" applyProtection="1">
      <alignment horizontal="center"/>
      <protection locked="0"/>
    </xf>
    <xf numFmtId="4" fontId="4" fillId="11" borderId="32" xfId="7" applyNumberFormat="1" applyFont="1" applyFill="1" applyBorder="1" applyAlignment="1" applyProtection="1">
      <alignment horizontal="center"/>
      <protection hidden="1"/>
    </xf>
    <xf numFmtId="4" fontId="4" fillId="11" borderId="50" xfId="7" applyNumberFormat="1" applyFont="1" applyFill="1" applyBorder="1" applyAlignment="1" applyProtection="1">
      <alignment horizontal="center"/>
      <protection hidden="1"/>
    </xf>
    <xf numFmtId="14" fontId="4" fillId="0" borderId="50" xfId="0" applyNumberFormat="1" applyFont="1" applyBorder="1" applyProtection="1">
      <protection locked="0"/>
    </xf>
    <xf numFmtId="0" fontId="53" fillId="14" borderId="24" xfId="0" applyFont="1" applyFill="1" applyBorder="1" applyAlignment="1">
      <alignment horizontal="center" vertical="center" wrapText="1"/>
    </xf>
    <xf numFmtId="0" fontId="39" fillId="15" borderId="51" xfId="0" applyFont="1" applyFill="1" applyBorder="1" applyAlignment="1">
      <alignment horizontal="center" vertical="center" wrapText="1"/>
    </xf>
    <xf numFmtId="0" fontId="39" fillId="14" borderId="51" xfId="0" applyFont="1" applyFill="1" applyBorder="1" applyAlignment="1">
      <alignment horizontal="center" vertical="center" wrapText="1"/>
    </xf>
    <xf numFmtId="0" fontId="40" fillId="5" borderId="30" xfId="6" applyFont="1" applyFill="1" applyBorder="1" applyAlignment="1" applyProtection="1">
      <alignment horizontal="center"/>
      <protection locked="0"/>
    </xf>
    <xf numFmtId="0" fontId="40" fillId="5" borderId="31" xfId="6" applyFont="1" applyFill="1" applyBorder="1" applyAlignment="1" applyProtection="1">
      <alignment horizontal="center"/>
      <protection locked="0"/>
    </xf>
    <xf numFmtId="49" fontId="36" fillId="0" borderId="32" xfId="6" applyNumberFormat="1" applyFont="1" applyBorder="1" applyAlignment="1" applyProtection="1">
      <alignment horizontal="left" shrinkToFit="1"/>
      <protection locked="0"/>
    </xf>
    <xf numFmtId="0" fontId="10" fillId="0" borderId="32" xfId="1" applyNumberFormat="1" applyFont="1" applyBorder="1" applyAlignment="1" applyProtection="1">
      <alignment horizontal="center" shrinkToFit="1"/>
      <protection locked="0"/>
    </xf>
    <xf numFmtId="4" fontId="10" fillId="3" borderId="32" xfId="7" applyNumberFormat="1" applyFont="1" applyBorder="1" applyAlignment="1" applyProtection="1">
      <protection hidden="1"/>
    </xf>
    <xf numFmtId="4" fontId="10" fillId="11" borderId="32" xfId="7" applyNumberFormat="1" applyFont="1" applyFill="1" applyBorder="1" applyAlignment="1" applyProtection="1">
      <alignment horizontal="center"/>
      <protection hidden="1"/>
    </xf>
    <xf numFmtId="4" fontId="10" fillId="11" borderId="50" xfId="7" applyNumberFormat="1" applyFont="1" applyFill="1" applyBorder="1" applyAlignment="1" applyProtection="1">
      <alignment horizontal="center"/>
      <protection hidden="1"/>
    </xf>
    <xf numFmtId="0" fontId="10" fillId="0" borderId="52" xfId="6" applyFont="1" applyBorder="1" applyAlignment="1" applyProtection="1">
      <alignment horizontal="center"/>
      <protection locked="0"/>
    </xf>
    <xf numFmtId="0" fontId="10" fillId="0" borderId="53" xfId="6" applyFont="1" applyBorder="1" applyAlignment="1" applyProtection="1">
      <alignment horizontal="center"/>
      <protection locked="0"/>
    </xf>
    <xf numFmtId="0" fontId="10" fillId="0" borderId="54" xfId="6" applyFont="1" applyBorder="1" applyAlignment="1" applyProtection="1">
      <alignment shrinkToFit="1"/>
      <protection locked="0"/>
    </xf>
    <xf numFmtId="43" fontId="10" fillId="0" borderId="54" xfId="1" applyFont="1" applyBorder="1" applyAlignment="1" applyProtection="1">
      <alignment horizontal="center" shrinkToFit="1"/>
      <protection locked="0"/>
    </xf>
    <xf numFmtId="17" fontId="10" fillId="0" borderId="54" xfId="1" applyNumberFormat="1" applyFont="1" applyBorder="1" applyAlignment="1" applyProtection="1">
      <alignment horizontal="center" shrinkToFit="1"/>
      <protection locked="0"/>
    </xf>
    <xf numFmtId="43" fontId="10" fillId="0" borderId="4" xfId="1" applyFont="1" applyBorder="1" applyAlignment="1" applyProtection="1">
      <alignment shrinkToFit="1"/>
      <protection locked="0"/>
    </xf>
    <xf numFmtId="43" fontId="10" fillId="0" borderId="54" xfId="1" applyFont="1" applyFill="1" applyBorder="1" applyAlignment="1" applyProtection="1">
      <alignment horizontal="center" shrinkToFit="1"/>
      <protection locked="0"/>
    </xf>
    <xf numFmtId="164" fontId="4" fillId="5" borderId="54" xfId="1" applyNumberFormat="1" applyFont="1" applyFill="1" applyBorder="1" applyAlignment="1" applyProtection="1">
      <protection locked="0"/>
    </xf>
    <xf numFmtId="43" fontId="10" fillId="0" borderId="54" xfId="1" applyFont="1" applyBorder="1" applyAlignment="1" applyProtection="1">
      <alignment shrinkToFit="1"/>
      <protection locked="0"/>
    </xf>
    <xf numFmtId="43" fontId="10" fillId="0" borderId="4" xfId="1" applyFont="1" applyBorder="1" applyAlignment="1" applyProtection="1">
      <alignment horizontal="right" wrapText="1" shrinkToFit="1"/>
      <protection locked="0"/>
    </xf>
    <xf numFmtId="0" fontId="4" fillId="0" borderId="54" xfId="0" applyFont="1" applyBorder="1" applyAlignment="1" applyProtection="1">
      <alignment horizontal="center"/>
      <protection locked="0"/>
    </xf>
    <xf numFmtId="4" fontId="10" fillId="11" borderId="54" xfId="7" applyNumberFormat="1" applyFont="1" applyFill="1" applyBorder="1" applyAlignment="1" applyProtection="1">
      <alignment horizontal="center"/>
      <protection hidden="1"/>
    </xf>
    <xf numFmtId="0" fontId="4" fillId="0" borderId="55" xfId="0" applyFont="1" applyBorder="1" applyAlignment="1" applyProtection="1">
      <alignment horizontal="center"/>
      <protection locked="0"/>
    </xf>
    <xf numFmtId="0" fontId="4" fillId="0" borderId="56" xfId="6" applyFont="1" applyBorder="1" applyAlignment="1" applyProtection="1">
      <alignment horizontal="center"/>
      <protection locked="0"/>
    </xf>
    <xf numFmtId="0" fontId="4" fillId="0" borderId="57" xfId="6" applyFont="1" applyBorder="1" applyAlignment="1" applyProtection="1">
      <alignment horizontal="center"/>
      <protection locked="0"/>
    </xf>
    <xf numFmtId="0" fontId="10" fillId="0" borderId="48" xfId="6" applyFont="1" applyBorder="1" applyAlignment="1" applyProtection="1">
      <alignment shrinkToFit="1"/>
      <protection locked="0"/>
    </xf>
    <xf numFmtId="0" fontId="4" fillId="0" borderId="58"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36" fillId="0" borderId="32" xfId="6" applyFont="1" applyBorder="1" applyAlignment="1" applyProtection="1">
      <alignment horizontal="left" shrinkToFit="1"/>
      <protection locked="0"/>
    </xf>
    <xf numFmtId="0" fontId="4" fillId="0" borderId="32" xfId="6" applyFont="1" applyBorder="1" applyAlignment="1" applyProtection="1">
      <alignment horizontal="center" shrinkToFit="1"/>
      <protection locked="0"/>
    </xf>
    <xf numFmtId="0" fontId="10" fillId="0" borderId="32" xfId="6" applyFont="1" applyBorder="1" applyAlignment="1" applyProtection="1">
      <alignment horizontal="center" shrinkToFit="1"/>
      <protection locked="0"/>
    </xf>
    <xf numFmtId="43" fontId="10" fillId="0" borderId="32" xfId="1" applyFont="1" applyBorder="1" applyAlignment="1" applyProtection="1">
      <alignment horizontal="center" shrinkToFit="1"/>
      <protection locked="0"/>
    </xf>
    <xf numFmtId="4" fontId="10" fillId="0" borderId="32" xfId="1" applyNumberFormat="1" applyFont="1" applyBorder="1" applyAlignment="1" applyProtection="1">
      <protection locked="0"/>
    </xf>
    <xf numFmtId="14" fontId="4" fillId="0" borderId="50" xfId="0" applyNumberFormat="1" applyFont="1" applyBorder="1" applyAlignment="1" applyProtection="1">
      <alignment horizontal="center"/>
      <protection locked="0"/>
    </xf>
    <xf numFmtId="0" fontId="10" fillId="10" borderId="0" xfId="6" applyFont="1" applyFill="1" applyBorder="1" applyAlignment="1" applyProtection="1">
      <protection locked="0"/>
    </xf>
    <xf numFmtId="17" fontId="4" fillId="0" borderId="4" xfId="1" applyNumberFormat="1" applyFont="1" applyBorder="1" applyAlignment="1" applyProtection="1">
      <alignment horizontal="center" shrinkToFit="1"/>
      <protection locked="0"/>
    </xf>
    <xf numFmtId="0" fontId="30" fillId="0" borderId="46" xfId="10" applyFont="1" applyBorder="1" applyAlignment="1">
      <alignment horizontal="left"/>
    </xf>
    <xf numFmtId="9" fontId="30" fillId="0" borderId="44" xfId="9" applyFont="1" applyBorder="1" applyAlignment="1">
      <alignment horizontal="center"/>
    </xf>
    <xf numFmtId="0" fontId="30" fillId="0" borderId="51" xfId="12" applyFont="1" applyBorder="1" applyAlignment="1">
      <alignment horizontal="left"/>
    </xf>
    <xf numFmtId="43" fontId="46" fillId="0" borderId="63" xfId="1" applyFont="1" applyFill="1" applyBorder="1" applyAlignment="1" applyProtection="1">
      <alignment horizontal="center" vertical="center" shrinkToFit="1"/>
      <protection locked="0"/>
    </xf>
    <xf numFmtId="43" fontId="6" fillId="0" borderId="0" xfId="1" applyFont="1" applyProtection="1">
      <protection locked="0"/>
    </xf>
    <xf numFmtId="0" fontId="30" fillId="11" borderId="4" xfId="10" applyFont="1" applyFill="1" applyBorder="1" applyAlignment="1">
      <alignment vertical="top"/>
    </xf>
    <xf numFmtId="0" fontId="30" fillId="11" borderId="4" xfId="10" applyFont="1" applyFill="1" applyBorder="1" applyAlignment="1"/>
    <xf numFmtId="0" fontId="30" fillId="11" borderId="4" xfId="10" applyFont="1" applyFill="1" applyBorder="1" applyAlignment="1">
      <alignment horizontal="right"/>
    </xf>
    <xf numFmtId="0" fontId="13" fillId="5" borderId="4" xfId="10" applyFont="1" applyFill="1" applyBorder="1" applyAlignment="1">
      <alignment vertical="top" wrapText="1"/>
    </xf>
    <xf numFmtId="0" fontId="0" fillId="0" borderId="0" xfId="0" applyAlignment="1">
      <alignment horizontal="center"/>
    </xf>
    <xf numFmtId="0" fontId="3" fillId="0" borderId="46" xfId="0" applyFont="1" applyBorder="1"/>
    <xf numFmtId="0" fontId="43" fillId="0" borderId="46" xfId="0" applyFont="1" applyBorder="1"/>
    <xf numFmtId="0" fontId="0" fillId="0" borderId="46" xfId="0" applyBorder="1"/>
    <xf numFmtId="0" fontId="0" fillId="25" borderId="46" xfId="0" applyFill="1" applyBorder="1"/>
    <xf numFmtId="0" fontId="42" fillId="16" borderId="67" xfId="0" applyFont="1" applyFill="1" applyBorder="1" applyAlignment="1">
      <alignment horizontal="center" vertical="top" wrapText="1"/>
    </xf>
    <xf numFmtId="0" fontId="13" fillId="0" borderId="0" xfId="12" applyFont="1" applyAlignment="1">
      <alignment vertical="top"/>
    </xf>
    <xf numFmtId="0" fontId="13" fillId="0" borderId="0" xfId="12" applyFont="1" applyAlignment="1">
      <alignment vertical="center"/>
    </xf>
    <xf numFmtId="9" fontId="30" fillId="0" borderId="44" xfId="9" applyFont="1" applyFill="1" applyBorder="1" applyAlignment="1">
      <alignment horizontal="center"/>
    </xf>
    <xf numFmtId="0" fontId="22" fillId="0" borderId="46" xfId="10" applyFont="1" applyBorder="1" applyAlignment="1"/>
    <xf numFmtId="0" fontId="56" fillId="28" borderId="46" xfId="10" applyFont="1" applyFill="1" applyBorder="1" applyAlignment="1">
      <alignment horizontal="center" vertical="center"/>
    </xf>
    <xf numFmtId="43" fontId="28" fillId="0" borderId="0" xfId="11" applyFont="1" applyFill="1" applyBorder="1" applyAlignment="1">
      <alignment horizontal="center" vertical="center" wrapText="1"/>
    </xf>
    <xf numFmtId="164" fontId="57" fillId="0" borderId="46" xfId="10" applyNumberFormat="1" applyFont="1" applyBorder="1" applyAlignment="1"/>
    <xf numFmtId="49" fontId="58" fillId="0" borderId="46" xfId="10" applyNumberFormat="1" applyFont="1" applyBorder="1" applyAlignment="1"/>
    <xf numFmtId="0" fontId="57" fillId="0" borderId="46" xfId="10" applyFont="1" applyBorder="1" applyAlignment="1"/>
    <xf numFmtId="164" fontId="58" fillId="0" borderId="46" xfId="10" applyNumberFormat="1" applyFont="1" applyBorder="1" applyAlignment="1"/>
    <xf numFmtId="0" fontId="22" fillId="23" borderId="46" xfId="10" applyFont="1" applyFill="1" applyBorder="1" applyAlignment="1">
      <alignment vertical="center"/>
    </xf>
    <xf numFmtId="0" fontId="22" fillId="23" borderId="46" xfId="10" applyFont="1" applyFill="1" applyBorder="1" applyAlignment="1">
      <alignment horizontal="center" vertical="center"/>
    </xf>
    <xf numFmtId="0" fontId="22" fillId="29" borderId="17" xfId="10" applyFont="1" applyFill="1" applyBorder="1" applyAlignment="1"/>
    <xf numFmtId="43" fontId="28" fillId="11" borderId="0" xfId="11" applyFont="1" applyFill="1" applyBorder="1" applyAlignment="1">
      <alignment horizontal="center" vertical="center" wrapText="1"/>
    </xf>
    <xf numFmtId="43" fontId="30" fillId="11" borderId="0" xfId="11" applyFont="1" applyFill="1" applyBorder="1" applyAlignment="1">
      <alignment horizontal="left"/>
    </xf>
    <xf numFmtId="43" fontId="30" fillId="11" borderId="0" xfId="11" applyFont="1" applyFill="1" applyBorder="1" applyAlignment="1"/>
    <xf numFmtId="164" fontId="22" fillId="11" borderId="0" xfId="10" applyNumberFormat="1" applyFont="1" applyFill="1" applyAlignment="1"/>
    <xf numFmtId="43" fontId="22" fillId="11" borderId="0" xfId="10" applyNumberFormat="1" applyFont="1" applyFill="1" applyAlignment="1"/>
    <xf numFmtId="0" fontId="22" fillId="11" borderId="0" xfId="10" applyFont="1" applyFill="1" applyAlignment="1"/>
    <xf numFmtId="0" fontId="37" fillId="11" borderId="0" xfId="10" applyFont="1" applyFill="1" applyAlignment="1">
      <alignment horizontal="left"/>
    </xf>
    <xf numFmtId="0" fontId="37" fillId="11" borderId="0" xfId="10" applyFont="1" applyFill="1"/>
    <xf numFmtId="43" fontId="37" fillId="11" borderId="0" xfId="11" applyFont="1" applyFill="1"/>
    <xf numFmtId="43" fontId="49" fillId="11" borderId="0" xfId="11" applyFont="1" applyFill="1" applyAlignment="1">
      <alignment horizontal="right"/>
    </xf>
    <xf numFmtId="43" fontId="28" fillId="11" borderId="0" xfId="11" applyFont="1" applyFill="1" applyAlignment="1"/>
    <xf numFmtId="0" fontId="28" fillId="11" borderId="0" xfId="10" applyFont="1" applyFill="1" applyAlignment="1"/>
    <xf numFmtId="0" fontId="13" fillId="11" borderId="0" xfId="12" applyFont="1" applyFill="1"/>
    <xf numFmtId="0" fontId="22" fillId="11" borderId="0" xfId="12" applyFont="1" applyFill="1"/>
    <xf numFmtId="0" fontId="8" fillId="11" borderId="0" xfId="12" applyFont="1" applyFill="1" applyAlignment="1">
      <alignment horizontal="center"/>
    </xf>
    <xf numFmtId="0" fontId="8" fillId="11" borderId="0" xfId="12" applyFont="1" applyFill="1"/>
    <xf numFmtId="43" fontId="13" fillId="11" borderId="0" xfId="11" applyFont="1" applyFill="1" applyBorder="1" applyAlignment="1"/>
    <xf numFmtId="43" fontId="22" fillId="11" borderId="0" xfId="11" applyFont="1" applyFill="1" applyBorder="1" applyAlignment="1"/>
    <xf numFmtId="43" fontId="22" fillId="11" borderId="0" xfId="11" applyFont="1" applyFill="1" applyAlignment="1"/>
    <xf numFmtId="0" fontId="30" fillId="11" borderId="0" xfId="12" applyFont="1" applyFill="1"/>
    <xf numFmtId="0" fontId="6" fillId="11" borderId="0" xfId="12" applyFont="1" applyFill="1"/>
    <xf numFmtId="43" fontId="30" fillId="11" borderId="0" xfId="9" applyNumberFormat="1" applyFont="1" applyFill="1" applyAlignment="1"/>
    <xf numFmtId="0" fontId="30" fillId="11" borderId="46" xfId="12" applyFont="1" applyFill="1" applyBorder="1"/>
    <xf numFmtId="9" fontId="30" fillId="11" borderId="46" xfId="9" applyFont="1" applyFill="1" applyBorder="1" applyAlignment="1">
      <alignment horizontal="center"/>
    </xf>
    <xf numFmtId="164" fontId="26" fillId="11" borderId="0" xfId="10" applyNumberFormat="1" applyFont="1" applyFill="1" applyAlignment="1"/>
    <xf numFmtId="0" fontId="22" fillId="31" borderId="0" xfId="10" applyFont="1" applyFill="1" applyAlignment="1"/>
    <xf numFmtId="164" fontId="25" fillId="11" borderId="0" xfId="10" applyNumberFormat="1" applyFont="1" applyFill="1" applyAlignment="1"/>
    <xf numFmtId="0" fontId="22" fillId="11" borderId="17" xfId="10" applyFont="1" applyFill="1" applyBorder="1" applyAlignment="1"/>
    <xf numFmtId="0" fontId="22" fillId="11" borderId="0" xfId="10" applyFont="1" applyFill="1" applyBorder="1" applyAlignment="1"/>
    <xf numFmtId="0" fontId="22" fillId="11" borderId="0" xfId="10" applyFont="1" applyFill="1"/>
    <xf numFmtId="0" fontId="42" fillId="16" borderId="76" xfId="0" applyFont="1" applyFill="1" applyBorder="1" applyAlignment="1">
      <alignment horizontal="center" vertical="top" wrapText="1"/>
    </xf>
    <xf numFmtId="0" fontId="43" fillId="0" borderId="12" xfId="0" applyFont="1" applyBorder="1"/>
    <xf numFmtId="43" fontId="46" fillId="0" borderId="4" xfId="1" applyFont="1" applyFill="1" applyBorder="1" applyAlignment="1" applyProtection="1">
      <alignment horizontal="center" vertical="center" shrinkToFit="1"/>
      <protection locked="0"/>
    </xf>
    <xf numFmtId="43" fontId="45" fillId="0" borderId="65" xfId="1" applyFont="1" applyFill="1" applyBorder="1" applyAlignment="1">
      <alignment horizontal="center"/>
    </xf>
    <xf numFmtId="43" fontId="46" fillId="0" borderId="3" xfId="1" applyFont="1" applyFill="1" applyBorder="1" applyAlignment="1" applyProtection="1">
      <alignment horizontal="center" vertical="center" shrinkToFit="1"/>
      <protection locked="0"/>
    </xf>
    <xf numFmtId="43" fontId="45" fillId="0" borderId="74" xfId="1" applyFont="1" applyFill="1" applyBorder="1" applyAlignment="1">
      <alignment horizontal="center"/>
    </xf>
    <xf numFmtId="43" fontId="45" fillId="0" borderId="66" xfId="1" applyFont="1" applyFill="1" applyBorder="1" applyAlignment="1">
      <alignment horizontal="center"/>
    </xf>
    <xf numFmtId="43" fontId="46" fillId="0" borderId="74" xfId="1" applyFont="1" applyFill="1" applyBorder="1" applyAlignment="1" applyProtection="1">
      <alignment vertical="center" shrinkToFit="1"/>
      <protection locked="0"/>
    </xf>
    <xf numFmtId="43" fontId="46" fillId="0" borderId="26" xfId="1" applyFont="1" applyFill="1" applyBorder="1" applyAlignment="1" applyProtection="1">
      <alignment horizontal="center" vertical="center" shrinkToFit="1"/>
      <protection locked="0"/>
    </xf>
    <xf numFmtId="43" fontId="46" fillId="0" borderId="26" xfId="1" applyFont="1" applyFill="1" applyBorder="1" applyAlignment="1" applyProtection="1">
      <alignment horizontal="left" vertical="center" shrinkToFit="1"/>
      <protection locked="0"/>
    </xf>
    <xf numFmtId="43" fontId="46" fillId="32" borderId="62" xfId="1" applyFont="1" applyFill="1" applyBorder="1" applyAlignment="1" applyProtection="1">
      <alignment horizontal="center" vertical="center" shrinkToFit="1"/>
      <protection locked="0"/>
    </xf>
    <xf numFmtId="43" fontId="46" fillId="32" borderId="72" xfId="1" applyFont="1" applyFill="1" applyBorder="1" applyAlignment="1" applyProtection="1">
      <alignment vertical="center" shrinkToFit="1"/>
      <protection locked="0"/>
    </xf>
    <xf numFmtId="17" fontId="0" fillId="0" borderId="46" xfId="0" applyNumberFormat="1" applyBorder="1"/>
    <xf numFmtId="10" fontId="0" fillId="0" borderId="46" xfId="0" applyNumberFormat="1" applyBorder="1"/>
    <xf numFmtId="0" fontId="60" fillId="34" borderId="46" xfId="0" applyFont="1" applyFill="1" applyBorder="1" applyAlignment="1">
      <alignment vertical="top"/>
    </xf>
    <xf numFmtId="0" fontId="60" fillId="34" borderId="46" xfId="0" applyFont="1" applyFill="1" applyBorder="1" applyAlignment="1">
      <alignment vertical="center"/>
    </xf>
    <xf numFmtId="43" fontId="54" fillId="31" borderId="73" xfId="1" applyFont="1" applyFill="1" applyBorder="1" applyAlignment="1" applyProtection="1">
      <alignment vertical="center" shrinkToFit="1"/>
      <protection locked="0"/>
    </xf>
    <xf numFmtId="43" fontId="54" fillId="31" borderId="75" xfId="1" applyFont="1" applyFill="1" applyBorder="1" applyAlignment="1" applyProtection="1">
      <alignment vertical="center" shrinkToFit="1"/>
      <protection locked="0"/>
    </xf>
    <xf numFmtId="43" fontId="54" fillId="31" borderId="60" xfId="1" applyFont="1" applyFill="1" applyBorder="1" applyAlignment="1" applyProtection="1">
      <alignment horizontal="left" vertical="center" shrinkToFit="1"/>
      <protection locked="0"/>
    </xf>
    <xf numFmtId="43" fontId="54" fillId="0" borderId="64" xfId="1" applyFont="1" applyFill="1" applyBorder="1" applyAlignment="1" applyProtection="1">
      <alignment vertical="center" shrinkToFit="1"/>
      <protection locked="0"/>
    </xf>
    <xf numFmtId="43" fontId="54" fillId="0" borderId="64" xfId="1" applyFont="1" applyFill="1" applyBorder="1" applyAlignment="1" applyProtection="1">
      <alignment vertical="center"/>
      <protection locked="0"/>
    </xf>
    <xf numFmtId="43" fontId="54" fillId="0" borderId="79" xfId="1" applyFont="1" applyFill="1" applyBorder="1" applyAlignment="1" applyProtection="1">
      <alignment horizontal="left" vertical="center" shrinkToFit="1"/>
      <protection locked="0"/>
    </xf>
    <xf numFmtId="1" fontId="62" fillId="0" borderId="66" xfId="1" applyNumberFormat="1" applyFont="1" applyFill="1" applyBorder="1" applyAlignment="1" applyProtection="1">
      <alignment horizontal="left" vertical="center" shrinkToFit="1"/>
      <protection locked="0"/>
    </xf>
    <xf numFmtId="1" fontId="62" fillId="0" borderId="4" xfId="1" applyNumberFormat="1" applyFont="1" applyFill="1" applyBorder="1" applyAlignment="1" applyProtection="1">
      <alignment horizontal="center" vertical="center" shrinkToFit="1"/>
      <protection locked="0"/>
    </xf>
    <xf numFmtId="43" fontId="62" fillId="0" borderId="65" xfId="1" applyFont="1" applyFill="1" applyBorder="1" applyAlignment="1">
      <alignment horizontal="center"/>
    </xf>
    <xf numFmtId="43" fontId="62" fillId="0" borderId="3" xfId="1" applyFont="1" applyFill="1" applyBorder="1" applyAlignment="1" applyProtection="1">
      <alignment horizontal="center" vertical="center" shrinkToFit="1"/>
      <protection locked="0"/>
    </xf>
    <xf numFmtId="43" fontId="62" fillId="0" borderId="0" xfId="1" applyFont="1" applyAlignment="1" applyProtection="1">
      <alignment horizontal="center"/>
      <protection locked="0"/>
    </xf>
    <xf numFmtId="43" fontId="62" fillId="0" borderId="66" xfId="1" applyFont="1" applyFill="1" applyBorder="1" applyAlignment="1">
      <alignment horizontal="center"/>
    </xf>
    <xf numFmtId="43" fontId="62" fillId="0" borderId="4" xfId="1" applyFont="1" applyFill="1" applyBorder="1" applyAlignment="1" applyProtection="1">
      <alignment horizontal="center" vertical="center" shrinkToFit="1"/>
      <protection locked="0"/>
    </xf>
    <xf numFmtId="43" fontId="61" fillId="0" borderId="0" xfId="1" applyFont="1" applyProtection="1">
      <protection locked="0"/>
    </xf>
    <xf numFmtId="43" fontId="63" fillId="33" borderId="77" xfId="1" applyFont="1" applyFill="1" applyBorder="1" applyAlignment="1" applyProtection="1">
      <alignment horizontal="center" vertical="top" wrapText="1"/>
      <protection locked="0"/>
    </xf>
    <xf numFmtId="43" fontId="63" fillId="33" borderId="60" xfId="1" applyFont="1" applyFill="1" applyBorder="1" applyAlignment="1" applyProtection="1">
      <alignment horizontal="center" vertical="top" wrapText="1"/>
      <protection locked="0"/>
    </xf>
    <xf numFmtId="43" fontId="2" fillId="11" borderId="0" xfId="1" applyFont="1" applyFill="1" applyBorder="1" applyAlignment="1" applyProtection="1">
      <alignment horizontal="centerContinuous"/>
      <protection locked="0"/>
    </xf>
    <xf numFmtId="43" fontId="6" fillId="11" borderId="0" xfId="1" applyFont="1" applyFill="1" applyAlignment="1" applyProtection="1">
      <alignment horizontal="centerContinuous" vertical="center"/>
      <protection locked="0"/>
    </xf>
    <xf numFmtId="43" fontId="6" fillId="11" borderId="0" xfId="1" applyFont="1" applyFill="1" applyAlignment="1" applyProtection="1">
      <alignment horizontal="center"/>
      <protection locked="0"/>
    </xf>
    <xf numFmtId="43" fontId="45" fillId="11" borderId="0" xfId="1" applyFont="1" applyFill="1" applyAlignment="1" applyProtection="1">
      <alignment horizontal="center"/>
      <protection locked="0"/>
    </xf>
    <xf numFmtId="9" fontId="45" fillId="11" borderId="0" xfId="1" applyNumberFormat="1" applyFont="1" applyFill="1" applyAlignment="1" applyProtection="1">
      <alignment horizontal="center"/>
      <protection locked="0"/>
    </xf>
    <xf numFmtId="9" fontId="59" fillId="11" borderId="0" xfId="1" applyNumberFormat="1" applyFont="1" applyFill="1" applyAlignment="1" applyProtection="1">
      <alignment horizontal="center"/>
      <protection locked="0"/>
    </xf>
    <xf numFmtId="0" fontId="30" fillId="0" borderId="80" xfId="10" applyFont="1" applyBorder="1" applyAlignment="1">
      <alignment horizontal="left"/>
    </xf>
    <xf numFmtId="0" fontId="30" fillId="5" borderId="24" xfId="10" applyFont="1" applyFill="1" applyBorder="1" applyAlignment="1">
      <alignment horizontal="center"/>
    </xf>
    <xf numFmtId="0" fontId="30" fillId="0" borderId="80" xfId="11" applyNumberFormat="1" applyFont="1" applyBorder="1" applyAlignment="1">
      <alignment horizontal="center"/>
    </xf>
    <xf numFmtId="43" fontId="31" fillId="8" borderId="80" xfId="11" applyFont="1" applyFill="1" applyBorder="1" applyAlignment="1"/>
    <xf numFmtId="43" fontId="30" fillId="5" borderId="83" xfId="11" applyFont="1" applyFill="1" applyBorder="1" applyAlignment="1"/>
    <xf numFmtId="0" fontId="30" fillId="0" borderId="46" xfId="11" applyNumberFormat="1" applyFont="1" applyBorder="1" applyAlignment="1">
      <alignment horizontal="center"/>
    </xf>
    <xf numFmtId="43" fontId="30" fillId="0" borderId="46" xfId="11" applyFont="1" applyBorder="1" applyAlignment="1"/>
    <xf numFmtId="43" fontId="31" fillId="8" borderId="46" xfId="11" applyFont="1" applyFill="1" applyBorder="1" applyAlignment="1"/>
    <xf numFmtId="43" fontId="30" fillId="0" borderId="84" xfId="11" applyFont="1" applyFill="1" applyBorder="1" applyAlignment="1"/>
    <xf numFmtId="43" fontId="30" fillId="5" borderId="84" xfId="11" applyFont="1" applyFill="1" applyBorder="1" applyAlignment="1"/>
    <xf numFmtId="0" fontId="28" fillId="26" borderId="87" xfId="10" applyFont="1" applyFill="1" applyBorder="1" applyAlignment="1">
      <alignment horizontal="center" vertical="center"/>
    </xf>
    <xf numFmtId="43" fontId="29" fillId="26" borderId="87" xfId="11" applyFont="1" applyFill="1" applyBorder="1" applyAlignment="1">
      <alignment horizontal="center" vertical="center" wrapText="1"/>
    </xf>
    <xf numFmtId="43" fontId="29" fillId="26" borderId="87" xfId="11" applyFont="1" applyFill="1" applyBorder="1" applyAlignment="1">
      <alignment horizontal="center" vertical="center"/>
    </xf>
    <xf numFmtId="43" fontId="28" fillId="26" borderId="88" xfId="11" applyFont="1" applyFill="1" applyBorder="1" applyAlignment="1">
      <alignment horizontal="center" vertical="center" wrapText="1"/>
    </xf>
    <xf numFmtId="0" fontId="27" fillId="5" borderId="22" xfId="10" applyFont="1" applyFill="1" applyBorder="1" applyAlignment="1">
      <alignment horizontal="center"/>
    </xf>
    <xf numFmtId="0" fontId="30" fillId="11" borderId="24" xfId="10" applyFont="1" applyFill="1" applyBorder="1" applyAlignment="1">
      <alignment vertical="top"/>
    </xf>
    <xf numFmtId="0" fontId="31" fillId="5" borderId="80" xfId="11" applyNumberFormat="1" applyFont="1" applyFill="1" applyBorder="1" applyAlignment="1">
      <alignment horizontal="center"/>
    </xf>
    <xf numFmtId="43" fontId="31" fillId="5" borderId="80" xfId="11" applyFont="1" applyFill="1" applyBorder="1" applyAlignment="1"/>
    <xf numFmtId="0" fontId="27" fillId="5" borderId="26" xfId="10" applyFont="1" applyFill="1" applyBorder="1" applyAlignment="1">
      <alignment horizontal="center"/>
    </xf>
    <xf numFmtId="0" fontId="31" fillId="5" borderId="46" xfId="11" applyNumberFormat="1" applyFont="1" applyFill="1" applyBorder="1" applyAlignment="1">
      <alignment horizontal="center"/>
    </xf>
    <xf numFmtId="43" fontId="31" fillId="5" borderId="46" xfId="11" applyFont="1" applyFill="1" applyBorder="1" applyAlignment="1"/>
    <xf numFmtId="0" fontId="33" fillId="6" borderId="89" xfId="10" applyFont="1" applyFill="1" applyBorder="1" applyAlignment="1"/>
    <xf numFmtId="0" fontId="34" fillId="6" borderId="90" xfId="10" applyFont="1" applyFill="1" applyBorder="1" applyAlignment="1">
      <alignment horizontal="center"/>
    </xf>
    <xf numFmtId="0" fontId="35" fillId="6" borderId="90" xfId="11" applyNumberFormat="1" applyFont="1" applyFill="1" applyBorder="1" applyAlignment="1">
      <alignment horizontal="center"/>
    </xf>
    <xf numFmtId="43" fontId="35" fillId="6" borderId="91" xfId="11" applyFont="1" applyFill="1" applyBorder="1" applyAlignment="1"/>
    <xf numFmtId="43" fontId="34" fillId="10" borderId="92" xfId="11" applyFont="1" applyFill="1" applyBorder="1" applyAlignment="1"/>
    <xf numFmtId="43" fontId="13" fillId="0" borderId="80" xfId="11" applyFont="1" applyBorder="1" applyAlignment="1"/>
    <xf numFmtId="43" fontId="28" fillId="30" borderId="0" xfId="11" applyFont="1" applyFill="1" applyBorder="1" applyAlignment="1">
      <alignment horizontal="left"/>
    </xf>
    <xf numFmtId="0" fontId="30" fillId="0" borderId="22" xfId="12" applyFont="1" applyBorder="1" applyAlignment="1">
      <alignment horizontal="left"/>
    </xf>
    <xf numFmtId="9" fontId="30" fillId="0" borderId="97" xfId="9" applyFont="1" applyBorder="1" applyAlignment="1">
      <alignment horizontal="center"/>
    </xf>
    <xf numFmtId="0" fontId="32" fillId="0" borderId="80" xfId="12" applyFont="1" applyBorder="1"/>
    <xf numFmtId="43" fontId="13" fillId="0" borderId="80" xfId="9" applyNumberFormat="1" applyFont="1" applyBorder="1" applyAlignment="1">
      <alignment horizontal="center"/>
    </xf>
    <xf numFmtId="43" fontId="13" fillId="0" borderId="80" xfId="11" applyFont="1" applyFill="1" applyBorder="1" applyAlignment="1"/>
    <xf numFmtId="164" fontId="13" fillId="0" borderId="80" xfId="12" applyNumberFormat="1" applyFont="1" applyBorder="1" applyAlignment="1">
      <alignment horizontal="center"/>
    </xf>
    <xf numFmtId="43" fontId="13" fillId="18" borderId="80" xfId="1" applyFont="1" applyFill="1" applyBorder="1" applyAlignment="1"/>
    <xf numFmtId="0" fontId="13" fillId="0" borderId="80" xfId="12" applyFont="1" applyBorder="1" applyAlignment="1">
      <alignment horizontal="center"/>
    </xf>
    <xf numFmtId="9" fontId="13" fillId="0" borderId="83" xfId="9" applyFont="1" applyBorder="1" applyAlignment="1">
      <alignment horizontal="center"/>
    </xf>
    <xf numFmtId="0" fontId="30" fillId="0" borderId="26" xfId="12" applyFont="1" applyBorder="1" applyAlignment="1">
      <alignment horizontal="left"/>
    </xf>
    <xf numFmtId="43" fontId="13" fillId="18" borderId="46" xfId="1" applyFont="1" applyFill="1" applyBorder="1" applyAlignment="1"/>
    <xf numFmtId="9" fontId="13" fillId="0" borderId="84" xfId="9" applyFont="1" applyBorder="1" applyAlignment="1">
      <alignment horizontal="center"/>
    </xf>
    <xf numFmtId="9" fontId="13" fillId="0" borderId="84" xfId="9" applyFont="1" applyFill="1" applyBorder="1" applyAlignment="1">
      <alignment horizontal="center"/>
    </xf>
    <xf numFmtId="0" fontId="30" fillId="0" borderId="99" xfId="12" applyFont="1" applyBorder="1" applyAlignment="1">
      <alignment horizontal="left"/>
    </xf>
    <xf numFmtId="9" fontId="30" fillId="0" borderId="80" xfId="9" applyFont="1" applyBorder="1" applyAlignment="1">
      <alignment horizontal="center"/>
    </xf>
    <xf numFmtId="43" fontId="13" fillId="0" borderId="80" xfId="12" applyNumberFormat="1" applyFont="1" applyBorder="1" applyAlignment="1">
      <alignment horizontal="center"/>
    </xf>
    <xf numFmtId="0" fontId="13" fillId="0" borderId="83" xfId="12" applyFont="1" applyBorder="1" applyAlignment="1">
      <alignment horizontal="center"/>
    </xf>
    <xf numFmtId="0" fontId="30" fillId="0" borderId="100" xfId="12" applyFont="1" applyBorder="1" applyAlignment="1">
      <alignment horizontal="left"/>
    </xf>
    <xf numFmtId="0" fontId="13" fillId="0" borderId="84" xfId="12" applyFont="1" applyBorder="1" applyAlignment="1">
      <alignment horizontal="center"/>
    </xf>
    <xf numFmtId="43" fontId="22" fillId="11" borderId="101" xfId="11" applyFont="1" applyFill="1" applyBorder="1" applyAlignment="1"/>
    <xf numFmtId="9" fontId="30" fillId="11" borderId="80" xfId="9" applyFont="1" applyFill="1" applyBorder="1" applyAlignment="1">
      <alignment horizontal="center"/>
    </xf>
    <xf numFmtId="0" fontId="30" fillId="11" borderId="80" xfId="12" applyFont="1" applyFill="1" applyBorder="1"/>
    <xf numFmtId="43" fontId="30" fillId="11" borderId="80" xfId="11" applyFont="1" applyFill="1" applyBorder="1" applyAlignment="1"/>
    <xf numFmtId="43" fontId="30" fillId="11" borderId="83" xfId="11" applyFont="1" applyFill="1" applyBorder="1" applyAlignment="1"/>
    <xf numFmtId="0" fontId="30" fillId="11" borderId="100" xfId="12" applyFont="1" applyFill="1" applyBorder="1" applyAlignment="1">
      <alignment horizontal="left"/>
    </xf>
    <xf numFmtId="43" fontId="30" fillId="11" borderId="46" xfId="11" applyFont="1" applyFill="1" applyBorder="1" applyAlignment="1"/>
    <xf numFmtId="43" fontId="30" fillId="11" borderId="84" xfId="11" applyFont="1" applyFill="1" applyBorder="1" applyAlignment="1"/>
    <xf numFmtId="0" fontId="30" fillId="11" borderId="96" xfId="12" applyFont="1" applyFill="1" applyBorder="1" applyAlignment="1">
      <alignment horizontal="left"/>
    </xf>
    <xf numFmtId="9" fontId="30" fillId="11" borderId="85" xfId="9" applyFont="1" applyFill="1" applyBorder="1" applyAlignment="1">
      <alignment horizontal="center"/>
    </xf>
    <xf numFmtId="0" fontId="30" fillId="11" borderId="85" xfId="12" applyFont="1" applyFill="1" applyBorder="1"/>
    <xf numFmtId="43" fontId="30" fillId="11" borderId="85" xfId="11" applyFont="1" applyFill="1" applyBorder="1" applyAlignment="1"/>
    <xf numFmtId="43" fontId="30" fillId="11" borderId="86" xfId="11" applyFont="1" applyFill="1" applyBorder="1" applyAlignment="1"/>
    <xf numFmtId="9" fontId="30" fillId="11" borderId="44" xfId="9" applyFont="1" applyFill="1" applyBorder="1" applyAlignment="1">
      <alignment horizontal="center"/>
    </xf>
    <xf numFmtId="0" fontId="30" fillId="11" borderId="102" xfId="12" applyFont="1" applyFill="1" applyBorder="1" applyAlignment="1">
      <alignment horizontal="left"/>
    </xf>
    <xf numFmtId="9" fontId="30" fillId="11" borderId="20" xfId="9" applyFont="1" applyFill="1" applyBorder="1" applyAlignment="1">
      <alignment horizontal="center"/>
    </xf>
    <xf numFmtId="0" fontId="30" fillId="11" borderId="20" xfId="12" applyFont="1" applyFill="1" applyBorder="1"/>
    <xf numFmtId="43" fontId="30" fillId="11" borderId="20" xfId="11" applyFont="1" applyFill="1" applyBorder="1" applyAlignment="1"/>
    <xf numFmtId="43" fontId="30" fillId="11" borderId="103" xfId="11" applyFont="1" applyFill="1" applyBorder="1" applyAlignment="1"/>
    <xf numFmtId="0" fontId="30" fillId="11" borderId="22" xfId="12" applyFont="1" applyFill="1" applyBorder="1" applyAlignment="1">
      <alignment horizontal="left"/>
    </xf>
    <xf numFmtId="9" fontId="30" fillId="11" borderId="97" xfId="9" applyFont="1" applyFill="1" applyBorder="1" applyAlignment="1">
      <alignment horizontal="center"/>
    </xf>
    <xf numFmtId="0" fontId="30" fillId="11" borderId="26" xfId="12" applyFont="1" applyFill="1" applyBorder="1" applyAlignment="1">
      <alignment horizontal="left"/>
    </xf>
    <xf numFmtId="0" fontId="30" fillId="11" borderId="30" xfId="12" applyFont="1" applyFill="1" applyBorder="1" applyAlignment="1">
      <alignment horizontal="left"/>
    </xf>
    <xf numFmtId="9" fontId="30" fillId="11" borderId="98" xfId="9" applyFont="1" applyFill="1" applyBorder="1" applyAlignment="1">
      <alignment horizontal="center"/>
    </xf>
    <xf numFmtId="0" fontId="37" fillId="31" borderId="104" xfId="12" applyFont="1" applyFill="1" applyBorder="1"/>
    <xf numFmtId="0" fontId="37" fillId="31" borderId="105" xfId="12" applyFont="1" applyFill="1" applyBorder="1"/>
    <xf numFmtId="0" fontId="37" fillId="31" borderId="106" xfId="12" applyFont="1" applyFill="1" applyBorder="1"/>
    <xf numFmtId="0" fontId="28" fillId="31" borderId="96" xfId="12" applyFont="1" applyFill="1" applyBorder="1" applyAlignment="1">
      <alignment horizontal="center"/>
    </xf>
    <xf numFmtId="0" fontId="28" fillId="31" borderId="85" xfId="12" applyFont="1" applyFill="1" applyBorder="1" applyAlignment="1">
      <alignment horizontal="center"/>
    </xf>
    <xf numFmtId="43" fontId="28" fillId="31" borderId="85" xfId="11" applyFont="1" applyFill="1" applyBorder="1" applyAlignment="1">
      <alignment horizontal="center"/>
    </xf>
    <xf numFmtId="43" fontId="28" fillId="31" borderId="86" xfId="11" applyFont="1" applyFill="1" applyBorder="1" applyAlignment="1">
      <alignment horizontal="center"/>
    </xf>
    <xf numFmtId="0" fontId="64" fillId="11" borderId="0" xfId="3" applyFont="1" applyFill="1" applyBorder="1" applyAlignment="1" applyProtection="1">
      <alignment horizontal="centerContinuous"/>
      <protection locked="0"/>
    </xf>
    <xf numFmtId="43" fontId="64" fillId="11" borderId="0" xfId="1" applyFont="1" applyFill="1" applyBorder="1" applyAlignment="1" applyProtection="1">
      <alignment horizontal="centerContinuous"/>
      <protection locked="0"/>
    </xf>
    <xf numFmtId="0" fontId="64" fillId="11" borderId="0" xfId="1" applyNumberFormat="1" applyFont="1" applyFill="1" applyBorder="1" applyAlignment="1" applyProtection="1">
      <alignment horizontal="center"/>
      <protection locked="0"/>
    </xf>
    <xf numFmtId="0" fontId="66" fillId="0" borderId="0" xfId="0" applyFont="1" applyProtection="1">
      <protection locked="0"/>
    </xf>
    <xf numFmtId="0" fontId="67" fillId="11" borderId="0" xfId="4" applyFont="1" applyFill="1" applyAlignment="1" applyProtection="1">
      <alignment horizontal="centerContinuous" vertical="center"/>
      <protection locked="0"/>
    </xf>
    <xf numFmtId="0" fontId="67" fillId="11" borderId="0" xfId="4" applyNumberFormat="1" applyFont="1" applyFill="1" applyAlignment="1" applyProtection="1">
      <alignment horizontal="centerContinuous" vertical="center"/>
      <protection locked="0"/>
    </xf>
    <xf numFmtId="1" fontId="67"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Continuous" vertical="center"/>
      <protection locked="0"/>
    </xf>
    <xf numFmtId="43" fontId="67" fillId="11" borderId="0" xfId="1" applyFont="1" applyFill="1" applyAlignment="1" applyProtection="1">
      <alignment horizontal="centerContinuous" vertical="center"/>
      <protection locked="0"/>
    </xf>
    <xf numFmtId="1" fontId="65"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 vertical="center"/>
      <protection locked="0"/>
    </xf>
    <xf numFmtId="0" fontId="67" fillId="11" borderId="0" xfId="0" applyFont="1" applyFill="1" applyProtection="1">
      <protection locked="0"/>
    </xf>
    <xf numFmtId="0" fontId="67" fillId="11" borderId="0" xfId="0" applyFont="1" applyFill="1" applyAlignment="1" applyProtection="1">
      <alignment horizontal="center"/>
      <protection locked="0"/>
    </xf>
    <xf numFmtId="1" fontId="67" fillId="11" borderId="0" xfId="1" applyNumberFormat="1" applyFont="1" applyFill="1" applyAlignment="1" applyProtection="1">
      <alignment horizontal="center"/>
      <protection locked="0"/>
    </xf>
    <xf numFmtId="0" fontId="67" fillId="11" borderId="0" xfId="1" applyNumberFormat="1" applyFont="1" applyFill="1" applyAlignment="1" applyProtection="1">
      <alignment horizontal="center"/>
      <protection locked="0"/>
    </xf>
    <xf numFmtId="43" fontId="67" fillId="11" borderId="0" xfId="1" applyFont="1" applyFill="1" applyAlignment="1" applyProtection="1">
      <alignment horizontal="center"/>
      <protection locked="0"/>
    </xf>
    <xf numFmtId="1" fontId="65" fillId="11" borderId="0" xfId="1" applyNumberFormat="1" applyFont="1" applyFill="1" applyAlignment="1" applyProtection="1">
      <alignment horizontal="center"/>
      <protection locked="0"/>
    </xf>
    <xf numFmtId="4" fontId="67" fillId="0" borderId="0" xfId="1" applyNumberFormat="1" applyFont="1" applyProtection="1">
      <protection locked="0"/>
    </xf>
    <xf numFmtId="0" fontId="66" fillId="0" borderId="0" xfId="1" applyNumberFormat="1" applyFont="1" applyAlignment="1" applyProtection="1">
      <alignment horizontal="center"/>
      <protection locked="0"/>
    </xf>
    <xf numFmtId="4" fontId="66" fillId="0" borderId="0" xfId="1" applyNumberFormat="1" applyFont="1" applyAlignment="1" applyProtection="1">
      <alignment horizontal="center"/>
      <protection locked="0"/>
    </xf>
    <xf numFmtId="0" fontId="67" fillId="11" borderId="0" xfId="0" applyFont="1" applyFill="1" applyAlignment="1" applyProtection="1">
      <alignment horizontal="left"/>
      <protection locked="0"/>
    </xf>
    <xf numFmtId="43" fontId="66" fillId="11" borderId="0" xfId="1" applyFont="1" applyFill="1" applyAlignment="1" applyProtection="1">
      <alignment horizontal="center"/>
      <protection locked="0"/>
    </xf>
    <xf numFmtId="9" fontId="66" fillId="11" borderId="0" xfId="1" applyNumberFormat="1" applyFont="1" applyFill="1" applyAlignment="1" applyProtection="1">
      <alignment horizontal="center"/>
      <protection locked="0"/>
    </xf>
    <xf numFmtId="9" fontId="67" fillId="11" borderId="0" xfId="1" applyNumberFormat="1" applyFont="1" applyFill="1" applyAlignment="1" applyProtection="1">
      <alignment horizontal="center"/>
      <protection locked="0"/>
    </xf>
    <xf numFmtId="43" fontId="69" fillId="33" borderId="80" xfId="1" applyFont="1" applyFill="1" applyBorder="1" applyAlignment="1" applyProtection="1">
      <alignment horizontal="center" vertical="top" wrapText="1"/>
      <protection locked="0"/>
    </xf>
    <xf numFmtId="4" fontId="71" fillId="12" borderId="4" xfId="8" applyNumberFormat="1" applyFont="1" applyFill="1" applyBorder="1" applyAlignment="1" applyProtection="1">
      <alignment horizontal="center" vertical="center" wrapText="1"/>
      <protection locked="0"/>
    </xf>
    <xf numFmtId="4" fontId="68" fillId="13" borderId="3" xfId="8" applyNumberFormat="1" applyFont="1" applyFill="1" applyBorder="1" applyAlignment="1" applyProtection="1">
      <alignment horizontal="center" vertical="center" wrapText="1"/>
      <protection hidden="1"/>
    </xf>
    <xf numFmtId="0" fontId="70" fillId="4" borderId="4" xfId="8" applyFont="1" applyBorder="1" applyAlignment="1" applyProtection="1">
      <alignment horizontal="center" vertical="center" wrapText="1"/>
      <protection locked="0"/>
    </xf>
    <xf numFmtId="0" fontId="73" fillId="21" borderId="21" xfId="0" applyFont="1" applyFill="1" applyBorder="1" applyAlignment="1">
      <alignment horizontal="center" vertical="center" wrapText="1"/>
    </xf>
    <xf numFmtId="0" fontId="66" fillId="0" borderId="0" xfId="0" applyFont="1" applyAlignment="1" applyProtection="1">
      <alignment horizontal="center" vertical="center" wrapText="1"/>
      <protection locked="0"/>
    </xf>
    <xf numFmtId="43" fontId="71" fillId="32" borderId="63" xfId="1" applyFont="1" applyFill="1" applyBorder="1" applyAlignment="1" applyProtection="1">
      <alignment horizontal="center" vertical="center" shrinkToFit="1"/>
      <protection locked="0"/>
    </xf>
    <xf numFmtId="43" fontId="72" fillId="31" borderId="63" xfId="1" applyFont="1" applyFill="1" applyBorder="1" applyAlignment="1" applyProtection="1">
      <alignment vertical="center" shrinkToFit="1"/>
      <protection locked="0"/>
    </xf>
    <xf numFmtId="43" fontId="71" fillId="24" borderId="63" xfId="1" applyFont="1" applyFill="1" applyBorder="1" applyAlignment="1" applyProtection="1">
      <alignment vertical="center"/>
      <protection locked="0"/>
    </xf>
    <xf numFmtId="43" fontId="67" fillId="23" borderId="62" xfId="1" applyFont="1" applyFill="1" applyBorder="1" applyProtection="1">
      <protection hidden="1"/>
    </xf>
    <xf numFmtId="0" fontId="66" fillId="0" borderId="63" xfId="0" applyFont="1" applyBorder="1" applyAlignment="1" applyProtection="1">
      <alignment horizontal="center"/>
      <protection locked="0"/>
    </xf>
    <xf numFmtId="4" fontId="71" fillId="0" borderId="63" xfId="7" applyNumberFormat="1" applyFont="1" applyFill="1" applyBorder="1" applyAlignment="1" applyProtection="1">
      <alignment horizontal="center"/>
      <protection hidden="1"/>
    </xf>
    <xf numFmtId="0" fontId="75" fillId="0" borderId="65" xfId="6" applyFont="1" applyFill="1" applyBorder="1" applyAlignment="1" applyProtection="1">
      <alignment horizontal="center" vertical="center"/>
      <protection locked="0"/>
    </xf>
    <xf numFmtId="0" fontId="75" fillId="0" borderId="66" xfId="6" applyFont="1" applyFill="1" applyBorder="1" applyAlignment="1" applyProtection="1">
      <alignment horizontal="center" vertical="center"/>
      <protection locked="0"/>
    </xf>
    <xf numFmtId="43" fontId="71" fillId="0" borderId="66" xfId="1" applyFont="1" applyFill="1" applyBorder="1" applyAlignment="1" applyProtection="1">
      <alignment horizontal="center" vertical="center" shrinkToFit="1"/>
      <protection locked="0"/>
    </xf>
    <xf numFmtId="0" fontId="71" fillId="0" borderId="66" xfId="1" applyNumberFormat="1" applyFont="1" applyFill="1" applyBorder="1" applyAlignment="1" applyProtection="1">
      <alignment horizontal="center" vertical="center" shrinkToFit="1"/>
      <protection locked="0"/>
    </xf>
    <xf numFmtId="0" fontId="71" fillId="0" borderId="74" xfId="1" applyNumberFormat="1" applyFont="1" applyFill="1" applyBorder="1" applyAlignment="1" applyProtection="1">
      <alignment horizontal="center" vertical="center" shrinkToFit="1"/>
      <protection locked="0"/>
    </xf>
    <xf numFmtId="1" fontId="74" fillId="0" borderId="66" xfId="1" applyNumberFormat="1" applyFont="1" applyFill="1" applyBorder="1" applyAlignment="1" applyProtection="1">
      <alignment horizontal="left" vertical="center" shrinkToFit="1"/>
      <protection locked="0"/>
    </xf>
    <xf numFmtId="43" fontId="76" fillId="0" borderId="66" xfId="1" applyFont="1" applyFill="1" applyBorder="1" applyAlignment="1" applyProtection="1">
      <alignment horizontal="center" vertical="center" shrinkToFit="1"/>
      <protection locked="0"/>
    </xf>
    <xf numFmtId="43" fontId="76" fillId="31" borderId="66" xfId="1" applyFont="1" applyFill="1" applyBorder="1" applyAlignment="1" applyProtection="1">
      <alignment vertical="center" shrinkToFit="1"/>
      <protection locked="0"/>
    </xf>
    <xf numFmtId="0" fontId="76" fillId="0" borderId="82" xfId="1" applyNumberFormat="1" applyFont="1" applyFill="1" applyBorder="1" applyAlignment="1" applyProtection="1">
      <alignment horizontal="center" vertical="center" shrinkToFit="1"/>
      <protection locked="0"/>
    </xf>
    <xf numFmtId="43" fontId="72" fillId="23" borderId="65" xfId="1" applyFont="1" applyFill="1" applyBorder="1" applyProtection="1">
      <protection hidden="1"/>
    </xf>
    <xf numFmtId="0" fontId="66" fillId="0" borderId="66" xfId="0" applyFont="1" applyBorder="1" applyAlignment="1" applyProtection="1">
      <alignment horizontal="center"/>
      <protection locked="0"/>
    </xf>
    <xf numFmtId="4" fontId="71" fillId="0" borderId="66" xfId="7" applyNumberFormat="1" applyFont="1" applyFill="1" applyBorder="1" applyAlignment="1" applyProtection="1">
      <alignment horizontal="center"/>
      <protection hidden="1"/>
    </xf>
    <xf numFmtId="43" fontId="71" fillId="0" borderId="66" xfId="6" applyNumberFormat="1" applyFont="1" applyFill="1" applyBorder="1" applyAlignment="1" applyProtection="1">
      <alignment horizontal="center" vertical="center" shrinkToFit="1"/>
      <protection locked="0"/>
    </xf>
    <xf numFmtId="43" fontId="72" fillId="31" borderId="66" xfId="1" applyFont="1" applyFill="1" applyBorder="1" applyAlignment="1" applyProtection="1">
      <alignment vertical="center" shrinkToFit="1"/>
      <protection locked="0"/>
    </xf>
    <xf numFmtId="0" fontId="71" fillId="0" borderId="82" xfId="1" applyNumberFormat="1" applyFont="1" applyFill="1" applyBorder="1" applyAlignment="1" applyProtection="1">
      <alignment horizontal="center" vertical="center" shrinkToFit="1"/>
      <protection locked="0"/>
    </xf>
    <xf numFmtId="0" fontId="75" fillId="0" borderId="3" xfId="6" applyFont="1" applyFill="1" applyBorder="1" applyAlignment="1" applyProtection="1">
      <alignment horizontal="center" vertical="center"/>
      <protection locked="0"/>
    </xf>
    <xf numFmtId="43" fontId="66" fillId="0" borderId="4" xfId="1" applyFont="1" applyFill="1" applyBorder="1" applyAlignment="1" applyProtection="1">
      <alignment horizontal="center" shrinkToFit="1"/>
      <protection locked="0"/>
    </xf>
    <xf numFmtId="0" fontId="71" fillId="0" borderId="4" xfId="1" applyNumberFormat="1" applyFont="1" applyFill="1" applyBorder="1" applyAlignment="1" applyProtection="1">
      <alignment horizontal="center" vertical="center" shrinkToFit="1"/>
      <protection locked="0"/>
    </xf>
    <xf numFmtId="1" fontId="71" fillId="0" borderId="4" xfId="1" applyNumberFormat="1" applyFont="1" applyFill="1" applyBorder="1" applyAlignment="1" applyProtection="1">
      <alignment horizontal="center" vertical="center" shrinkToFit="1"/>
      <protection locked="0"/>
    </xf>
    <xf numFmtId="0" fontId="71" fillId="0" borderId="26" xfId="1" applyNumberFormat="1" applyFont="1" applyFill="1" applyBorder="1" applyAlignment="1" applyProtection="1">
      <alignment horizontal="center" vertical="center" shrinkToFit="1"/>
      <protection locked="0"/>
    </xf>
    <xf numFmtId="43" fontId="71" fillId="0" borderId="4" xfId="1" applyFont="1" applyFill="1" applyBorder="1" applyAlignment="1" applyProtection="1">
      <alignment horizontal="center" vertical="center" shrinkToFit="1"/>
      <protection locked="0"/>
    </xf>
    <xf numFmtId="1" fontId="74" fillId="0" borderId="4" xfId="1" applyNumberFormat="1" applyFont="1" applyFill="1" applyBorder="1" applyAlignment="1" applyProtection="1">
      <alignment horizontal="center" vertical="center" shrinkToFit="1"/>
      <protection locked="0"/>
    </xf>
    <xf numFmtId="43" fontId="72" fillId="31" borderId="4" xfId="1" applyFont="1" applyFill="1" applyBorder="1" applyAlignment="1" applyProtection="1">
      <alignment horizontal="left" vertical="center" shrinkToFit="1"/>
      <protection locked="0"/>
    </xf>
    <xf numFmtId="0" fontId="71" fillId="0" borderId="39" xfId="1" applyNumberFormat="1" applyFont="1" applyFill="1" applyBorder="1" applyAlignment="1" applyProtection="1">
      <alignment horizontal="center" vertical="center" shrinkToFit="1"/>
      <protection locked="0"/>
    </xf>
    <xf numFmtId="43" fontId="72" fillId="23" borderId="3" xfId="1" applyFont="1" applyFill="1" applyBorder="1" applyProtection="1">
      <protection hidden="1"/>
    </xf>
    <xf numFmtId="14" fontId="66" fillId="0" borderId="4" xfId="0" applyNumberFormat="1" applyFont="1" applyBorder="1" applyAlignment="1" applyProtection="1">
      <alignment horizontal="center"/>
      <protection locked="0"/>
    </xf>
    <xf numFmtId="4" fontId="71" fillId="0" borderId="4" xfId="7" applyNumberFormat="1" applyFont="1" applyFill="1" applyBorder="1" applyAlignment="1" applyProtection="1">
      <alignment horizontal="center"/>
      <protection hidden="1"/>
    </xf>
    <xf numFmtId="0" fontId="71" fillId="0" borderId="0" xfId="6" applyFont="1" applyBorder="1" applyAlignment="1" applyProtection="1">
      <alignment vertical="center"/>
      <protection locked="0"/>
    </xf>
    <xf numFmtId="1" fontId="71" fillId="0" borderId="66" xfId="1" applyNumberFormat="1" applyFont="1" applyFill="1" applyBorder="1" applyAlignment="1" applyProtection="1">
      <alignment horizontal="center" vertical="center" shrinkToFit="1"/>
      <protection locked="0"/>
    </xf>
    <xf numFmtId="43" fontId="67" fillId="10" borderId="33" xfId="1" applyFont="1" applyFill="1" applyBorder="1" applyAlignment="1" applyProtection="1">
      <alignment horizontal="center"/>
      <protection locked="0"/>
    </xf>
    <xf numFmtId="0" fontId="67" fillId="0" borderId="0" xfId="0" applyFont="1" applyProtection="1">
      <protection locked="0"/>
    </xf>
    <xf numFmtId="0" fontId="66" fillId="0" borderId="0" xfId="0" applyFont="1" applyAlignment="1" applyProtection="1">
      <alignment horizontal="center"/>
      <protection locked="0"/>
    </xf>
    <xf numFmtId="1" fontId="66" fillId="0" borderId="0" xfId="1" applyNumberFormat="1" applyFont="1" applyAlignment="1" applyProtection="1">
      <alignment horizontal="center"/>
      <protection locked="0"/>
    </xf>
    <xf numFmtId="43" fontId="66" fillId="0" borderId="0" xfId="1" applyFont="1" applyAlignment="1" applyProtection="1">
      <alignment horizontal="center"/>
      <protection locked="0"/>
    </xf>
    <xf numFmtId="1" fontId="74" fillId="0" borderId="0" xfId="1" applyNumberFormat="1" applyFont="1" applyAlignment="1" applyProtection="1">
      <alignment horizontal="center"/>
      <protection locked="0"/>
    </xf>
    <xf numFmtId="43" fontId="67" fillId="0" borderId="0" xfId="1" applyFont="1" applyProtection="1">
      <protection locked="0"/>
    </xf>
    <xf numFmtId="0" fontId="67" fillId="0" borderId="0" xfId="1" applyNumberFormat="1" applyFont="1" applyAlignment="1" applyProtection="1">
      <alignment horizontal="center"/>
      <protection locked="0"/>
    </xf>
    <xf numFmtId="4" fontId="66" fillId="0" borderId="0" xfId="1" applyNumberFormat="1" applyFont="1" applyProtection="1">
      <protection locked="0"/>
    </xf>
    <xf numFmtId="4" fontId="64" fillId="0" borderId="0" xfId="1" applyNumberFormat="1" applyFont="1" applyProtection="1">
      <protection locked="0"/>
    </xf>
    <xf numFmtId="43" fontId="64" fillId="0" borderId="0" xfId="1" applyFont="1" applyProtection="1">
      <protection locked="0"/>
    </xf>
    <xf numFmtId="4" fontId="64" fillId="0" borderId="0" xfId="1" applyNumberFormat="1" applyFont="1" applyAlignment="1" applyProtection="1">
      <alignment horizontal="center"/>
      <protection locked="0"/>
    </xf>
    <xf numFmtId="0" fontId="66" fillId="0" borderId="0" xfId="0" applyFont="1"/>
    <xf numFmtId="43" fontId="66" fillId="0" borderId="0" xfId="0" applyNumberFormat="1" applyFont="1" applyAlignment="1" applyProtection="1">
      <alignment horizontal="center"/>
      <protection locked="0"/>
    </xf>
    <xf numFmtId="0" fontId="77" fillId="11" borderId="0" xfId="0" applyFont="1" applyFill="1" applyProtection="1">
      <protection locked="0"/>
    </xf>
    <xf numFmtId="43" fontId="61" fillId="11" borderId="0" xfId="1" applyFont="1" applyFill="1" applyBorder="1" applyAlignment="1" applyProtection="1">
      <alignment horizontal="centerContinuous"/>
      <protection locked="0"/>
    </xf>
    <xf numFmtId="43" fontId="61" fillId="11" borderId="0" xfId="1" applyFont="1" applyFill="1" applyAlignment="1" applyProtection="1">
      <alignment horizontal="centerContinuous" vertical="center"/>
      <protection locked="0"/>
    </xf>
    <xf numFmtId="43" fontId="71" fillId="0" borderId="66" xfId="1" applyFont="1" applyFill="1" applyBorder="1" applyAlignment="1" applyProtection="1">
      <alignment vertical="center"/>
      <protection locked="0"/>
    </xf>
    <xf numFmtId="43" fontId="71" fillId="0" borderId="4" xfId="1" applyFont="1" applyFill="1" applyBorder="1" applyAlignment="1" applyProtection="1">
      <alignment vertical="center"/>
      <protection locked="0"/>
    </xf>
    <xf numFmtId="1" fontId="70" fillId="25" borderId="23" xfId="1" applyNumberFormat="1" applyFont="1" applyFill="1" applyBorder="1" applyAlignment="1" applyProtection="1">
      <alignment horizontal="center" vertical="top" wrapText="1"/>
      <protection locked="0"/>
    </xf>
    <xf numFmtId="1" fontId="74" fillId="25" borderId="63" xfId="1" quotePrefix="1" applyNumberFormat="1" applyFont="1" applyFill="1" applyBorder="1" applyAlignment="1" applyProtection="1">
      <alignment horizontal="center" vertical="center" shrinkToFit="1"/>
      <protection locked="0"/>
    </xf>
    <xf numFmtId="43" fontId="74" fillId="25" borderId="63" xfId="1" applyFont="1" applyFill="1" applyBorder="1" applyAlignment="1" applyProtection="1">
      <alignment horizontal="center" vertical="center" shrinkToFit="1"/>
      <protection locked="0"/>
    </xf>
    <xf numFmtId="1" fontId="47" fillId="25" borderId="3" xfId="1" applyNumberFormat="1" applyFont="1" applyFill="1" applyBorder="1" applyAlignment="1" applyProtection="1">
      <alignment horizontal="center" vertical="top" wrapText="1"/>
      <protection locked="0"/>
    </xf>
    <xf numFmtId="1" fontId="62" fillId="25" borderId="63" xfId="1" quotePrefix="1" applyNumberFormat="1" applyFont="1" applyFill="1" applyBorder="1" applyAlignment="1" applyProtection="1">
      <alignment horizontal="center" vertical="center" shrinkToFit="1"/>
      <protection locked="0"/>
    </xf>
    <xf numFmtId="43" fontId="62" fillId="25" borderId="62" xfId="1" applyFont="1" applyFill="1" applyBorder="1" applyAlignment="1" applyProtection="1">
      <alignment horizontal="center" vertical="center" shrinkToFit="1"/>
      <protection locked="0"/>
    </xf>
    <xf numFmtId="0" fontId="64" fillId="11" borderId="0" xfId="3" applyFont="1" applyFill="1" applyBorder="1" applyAlignment="1" applyProtection="1">
      <alignment horizontal="center"/>
      <protection locked="0"/>
    </xf>
    <xf numFmtId="0" fontId="67" fillId="11" borderId="0" xfId="4" applyFont="1" applyFill="1" applyAlignment="1" applyProtection="1">
      <alignment horizontal="left" vertical="center"/>
      <protection locked="0"/>
    </xf>
    <xf numFmtId="0" fontId="67" fillId="11" borderId="0" xfId="4" applyFont="1" applyFill="1" applyAlignment="1" applyProtection="1">
      <alignment horizontal="center" vertical="center"/>
      <protection locked="0"/>
    </xf>
    <xf numFmtId="4" fontId="67" fillId="11" borderId="0" xfId="1" applyNumberFormat="1" applyFont="1" applyFill="1" applyProtection="1">
      <protection locked="0"/>
    </xf>
    <xf numFmtId="0" fontId="66" fillId="11" borderId="0" xfId="1" applyNumberFormat="1" applyFont="1" applyFill="1" applyAlignment="1" applyProtection="1">
      <alignment horizontal="center"/>
      <protection locked="0"/>
    </xf>
    <xf numFmtId="4" fontId="66" fillId="11" borderId="0" xfId="1" applyNumberFormat="1" applyFont="1" applyFill="1" applyAlignment="1" applyProtection="1">
      <alignment horizontal="center"/>
      <protection locked="0"/>
    </xf>
    <xf numFmtId="9" fontId="67" fillId="11" borderId="0" xfId="9" applyFont="1" applyFill="1" applyAlignment="1" applyProtection="1">
      <alignment horizontal="center"/>
      <protection locked="0"/>
    </xf>
    <xf numFmtId="0" fontId="66" fillId="11" borderId="0" xfId="1" applyNumberFormat="1" applyFont="1" applyFill="1" applyProtection="1">
      <protection locked="0"/>
    </xf>
    <xf numFmtId="9" fontId="6" fillId="11" borderId="0" xfId="1" applyNumberFormat="1" applyFont="1" applyFill="1" applyAlignment="1" applyProtection="1">
      <alignment horizontal="center"/>
      <protection locked="0"/>
    </xf>
    <xf numFmtId="0" fontId="67" fillId="31" borderId="33" xfId="0" applyFont="1" applyFill="1" applyBorder="1" applyProtection="1">
      <protection locked="0"/>
    </xf>
    <xf numFmtId="0" fontId="67" fillId="31" borderId="33" xfId="0" applyFont="1" applyFill="1" applyBorder="1" applyAlignment="1" applyProtection="1">
      <alignment horizontal="center"/>
      <protection locked="0"/>
    </xf>
    <xf numFmtId="1" fontId="67" fillId="31" borderId="33" xfId="1" applyNumberFormat="1" applyFont="1" applyFill="1" applyBorder="1" applyAlignment="1" applyProtection="1">
      <alignment horizontal="center"/>
      <protection locked="0"/>
    </xf>
    <xf numFmtId="43" fontId="72" fillId="31" borderId="73" xfId="1" applyFont="1" applyFill="1" applyBorder="1" applyAlignment="1" applyProtection="1">
      <alignment vertical="center" shrinkToFit="1"/>
      <protection locked="0"/>
    </xf>
    <xf numFmtId="43" fontId="72" fillId="31" borderId="75" xfId="1" applyFont="1" applyFill="1" applyBorder="1" applyAlignment="1" applyProtection="1">
      <alignment vertical="center" shrinkToFit="1"/>
      <protection locked="0"/>
    </xf>
    <xf numFmtId="43" fontId="72" fillId="31" borderId="75" xfId="1" applyFont="1" applyFill="1" applyBorder="1" applyAlignment="1" applyProtection="1">
      <alignment vertical="center"/>
      <protection locked="0"/>
    </xf>
    <xf numFmtId="43" fontId="72" fillId="31" borderId="60" xfId="1" applyFont="1" applyFill="1" applyBorder="1" applyAlignment="1" applyProtection="1">
      <alignment horizontal="left" vertical="center" shrinkToFit="1"/>
      <protection locked="0"/>
    </xf>
    <xf numFmtId="43" fontId="62" fillId="25" borderId="63" xfId="1" applyFont="1" applyFill="1" applyBorder="1" applyAlignment="1" applyProtection="1">
      <alignment horizontal="center" vertical="center" shrinkToFit="1"/>
      <protection locked="0"/>
    </xf>
    <xf numFmtId="0" fontId="71" fillId="0" borderId="62" xfId="6" applyFont="1" applyFill="1" applyBorder="1" applyAlignment="1" applyProtection="1">
      <alignment horizontal="center" vertical="center"/>
      <protection locked="0"/>
    </xf>
    <xf numFmtId="1" fontId="71" fillId="0" borderId="62" xfId="6" quotePrefix="1" applyNumberFormat="1" applyFont="1" applyFill="1" applyBorder="1" applyAlignment="1" applyProtection="1">
      <alignment horizontal="center" vertical="center"/>
      <protection locked="0"/>
    </xf>
    <xf numFmtId="0" fontId="71" fillId="0" borderId="63" xfId="6" applyFont="1" applyFill="1" applyBorder="1" applyAlignment="1" applyProtection="1">
      <alignment horizontal="center" vertical="center" shrinkToFit="1"/>
      <protection locked="0"/>
    </xf>
    <xf numFmtId="1" fontId="71" fillId="0" borderId="63" xfId="1" quotePrefix="1" applyNumberFormat="1" applyFont="1" applyFill="1" applyBorder="1" applyAlignment="1" applyProtection="1">
      <alignment horizontal="center" vertical="center" shrinkToFit="1"/>
      <protection locked="0"/>
    </xf>
    <xf numFmtId="43" fontId="71" fillId="0" borderId="63" xfId="1" quotePrefix="1" applyFont="1" applyFill="1" applyBorder="1" applyAlignment="1" applyProtection="1">
      <alignment horizontal="center" vertical="center" shrinkToFit="1"/>
      <protection locked="0"/>
    </xf>
    <xf numFmtId="43" fontId="46" fillId="0" borderId="72" xfId="1" applyFont="1" applyFill="1" applyBorder="1" applyAlignment="1" applyProtection="1">
      <alignment horizontal="center" vertical="center" shrinkToFit="1"/>
      <protection locked="0"/>
    </xf>
    <xf numFmtId="17" fontId="71" fillId="0" borderId="72" xfId="1" quotePrefix="1" applyNumberFormat="1" applyFont="1" applyFill="1" applyBorder="1" applyAlignment="1" applyProtection="1">
      <alignment horizontal="center" vertical="center" shrinkToFit="1"/>
      <protection locked="0"/>
    </xf>
    <xf numFmtId="43" fontId="54" fillId="0" borderId="61" xfId="1" applyFont="1" applyFill="1" applyBorder="1" applyAlignment="1" applyProtection="1">
      <alignment vertical="center" shrinkToFit="1"/>
      <protection locked="0"/>
    </xf>
    <xf numFmtId="43" fontId="47" fillId="22" borderId="26" xfId="1" applyFont="1" applyFill="1" applyBorder="1" applyAlignment="1" applyProtection="1">
      <alignment horizontal="center" vertical="top" wrapText="1"/>
      <protection locked="0"/>
    </xf>
    <xf numFmtId="43" fontId="47" fillId="22" borderId="4" xfId="1" applyFont="1" applyFill="1" applyBorder="1" applyAlignment="1" applyProtection="1">
      <alignment horizontal="center" vertical="top" wrapText="1"/>
      <protection locked="0"/>
    </xf>
    <xf numFmtId="43" fontId="63" fillId="22" borderId="46" xfId="1" applyFont="1" applyFill="1" applyBorder="1" applyAlignment="1" applyProtection="1">
      <alignment horizontal="center" vertical="top" wrapText="1"/>
      <protection locked="0"/>
    </xf>
    <xf numFmtId="9" fontId="59" fillId="11" borderId="0" xfId="9" applyFont="1" applyFill="1" applyAlignment="1" applyProtection="1">
      <alignment horizontal="center"/>
      <protection locked="0"/>
    </xf>
    <xf numFmtId="43" fontId="67" fillId="31" borderId="33" xfId="1" applyFont="1" applyFill="1" applyBorder="1" applyAlignment="1" applyProtection="1">
      <alignment horizontal="center"/>
      <protection locked="0"/>
    </xf>
    <xf numFmtId="9" fontId="13" fillId="11" borderId="0" xfId="9" applyFont="1" applyFill="1" applyBorder="1" applyAlignment="1">
      <alignment horizontal="center"/>
    </xf>
    <xf numFmtId="0" fontId="13" fillId="11" borderId="0" xfId="12" applyFont="1" applyFill="1" applyAlignment="1">
      <alignment horizontal="center"/>
    </xf>
    <xf numFmtId="0" fontId="22" fillId="11" borderId="0" xfId="12" applyFont="1" applyFill="1" applyAlignment="1">
      <alignment horizontal="center"/>
    </xf>
    <xf numFmtId="1" fontId="67" fillId="11" borderId="0" xfId="1" applyNumberFormat="1" applyFont="1" applyFill="1" applyBorder="1" applyAlignment="1" applyProtection="1">
      <alignment horizontal="center"/>
      <protection locked="0"/>
    </xf>
    <xf numFmtId="43" fontId="67" fillId="11" borderId="0" xfId="1" applyFont="1" applyFill="1" applyBorder="1" applyAlignment="1" applyProtection="1">
      <alignment horizontal="center"/>
      <protection locked="0"/>
    </xf>
    <xf numFmtId="1" fontId="65" fillId="11" borderId="0" xfId="1" applyNumberFormat="1" applyFont="1" applyFill="1" applyBorder="1" applyAlignment="1" applyProtection="1">
      <alignment horizontal="center"/>
      <protection locked="0"/>
    </xf>
    <xf numFmtId="43" fontId="65" fillId="11" borderId="0" xfId="1" applyFont="1" applyFill="1" applyBorder="1" applyAlignment="1" applyProtection="1">
      <alignment horizontal="center"/>
      <protection locked="0"/>
    </xf>
    <xf numFmtId="0" fontId="67" fillId="11" borderId="0" xfId="1" applyNumberFormat="1" applyFont="1" applyFill="1" applyBorder="1" applyAlignment="1" applyProtection="1">
      <alignment horizontal="center"/>
      <protection locked="0"/>
    </xf>
    <xf numFmtId="43" fontId="6" fillId="11" borderId="0" xfId="1" applyFont="1" applyFill="1" applyBorder="1" applyAlignment="1" applyProtection="1">
      <alignment horizontal="center"/>
      <protection locked="0"/>
    </xf>
    <xf numFmtId="43" fontId="61" fillId="11" borderId="0" xfId="1" applyFont="1" applyFill="1" applyBorder="1" applyAlignment="1" applyProtection="1">
      <alignment horizontal="center"/>
      <protection locked="0"/>
    </xf>
    <xf numFmtId="0" fontId="79" fillId="0" borderId="0" xfId="0" applyFont="1" applyProtection="1">
      <protection locked="0"/>
    </xf>
    <xf numFmtId="0" fontId="80" fillId="0" borderId="0" xfId="0" applyFont="1" applyAlignment="1" applyProtection="1">
      <alignment horizontal="center"/>
      <protection locked="0"/>
    </xf>
    <xf numFmtId="0" fontId="80" fillId="0" borderId="0" xfId="0" applyFont="1" applyProtection="1">
      <protection locked="0"/>
    </xf>
    <xf numFmtId="43" fontId="80" fillId="0" borderId="0" xfId="0" applyNumberFormat="1" applyFont="1" applyProtection="1">
      <protection locked="0"/>
    </xf>
    <xf numFmtId="43" fontId="80" fillId="0" borderId="0" xfId="0" applyNumberFormat="1" applyFont="1" applyAlignment="1" applyProtection="1">
      <alignment horizontal="center"/>
      <protection locked="0"/>
    </xf>
    <xf numFmtId="43" fontId="81" fillId="0" borderId="0" xfId="1" applyFont="1" applyProtection="1">
      <protection locked="0"/>
    </xf>
    <xf numFmtId="0" fontId="66" fillId="0" borderId="0" xfId="0" applyFont="1" applyAlignment="1" applyProtection="1">
      <alignment vertical="center"/>
      <protection locked="0"/>
    </xf>
    <xf numFmtId="0" fontId="80" fillId="0" borderId="0" xfId="0" applyFont="1" applyAlignment="1" applyProtection="1">
      <alignment vertical="center"/>
      <protection locked="0"/>
    </xf>
    <xf numFmtId="43" fontId="80" fillId="0" borderId="0" xfId="1" applyFont="1" applyAlignment="1" applyProtection="1">
      <alignment vertical="center"/>
      <protection locked="0"/>
    </xf>
    <xf numFmtId="43" fontId="66" fillId="0" borderId="0" xfId="1" applyFont="1" applyAlignment="1" applyProtection="1">
      <alignment horizontal="center" vertical="center"/>
      <protection locked="0"/>
    </xf>
    <xf numFmtId="0" fontId="66" fillId="0" borderId="0" xfId="1" applyNumberFormat="1" applyFont="1" applyAlignment="1" applyProtection="1">
      <alignment horizontal="center" vertical="center"/>
      <protection locked="0"/>
    </xf>
    <xf numFmtId="1" fontId="66" fillId="0" borderId="0" xfId="1" applyNumberFormat="1" applyFont="1" applyAlignment="1" applyProtection="1">
      <alignment horizontal="center" vertical="center"/>
      <protection locked="0"/>
    </xf>
    <xf numFmtId="1" fontId="74" fillId="0" borderId="0" xfId="1" applyNumberFormat="1" applyFont="1" applyAlignment="1" applyProtection="1">
      <alignment horizontal="center" vertical="center"/>
      <protection locked="0"/>
    </xf>
    <xf numFmtId="43" fontId="67" fillId="0" borderId="0" xfId="1" applyFont="1" applyAlignment="1" applyProtection="1">
      <alignment vertical="center"/>
      <protection locked="0"/>
    </xf>
    <xf numFmtId="0" fontId="67" fillId="0" borderId="0" xfId="1" applyNumberFormat="1" applyFont="1" applyAlignment="1" applyProtection="1">
      <alignment horizontal="center" vertical="center"/>
      <protection locked="0"/>
    </xf>
    <xf numFmtId="43" fontId="45" fillId="0" borderId="0" xfId="1" applyFont="1" applyAlignment="1" applyProtection="1">
      <alignment horizontal="center" vertical="center"/>
      <protection locked="0"/>
    </xf>
    <xf numFmtId="43" fontId="62" fillId="0" borderId="0" xfId="1" applyFont="1" applyAlignment="1" applyProtection="1">
      <alignment horizontal="center" vertical="center"/>
      <protection locked="0"/>
    </xf>
    <xf numFmtId="4" fontId="66" fillId="0" borderId="0" xfId="1" applyNumberFormat="1" applyFont="1" applyAlignment="1" applyProtection="1">
      <alignment vertical="center"/>
      <protection locked="0"/>
    </xf>
    <xf numFmtId="43" fontId="59" fillId="0" borderId="0" xfId="1" applyFont="1" applyAlignment="1" applyProtection="1">
      <alignment vertical="center"/>
      <protection locked="0"/>
    </xf>
    <xf numFmtId="43" fontId="61" fillId="0" borderId="0" xfId="1" applyFont="1" applyAlignment="1" applyProtection="1">
      <alignment vertical="center"/>
      <protection locked="0"/>
    </xf>
    <xf numFmtId="43" fontId="45" fillId="0" borderId="0" xfId="1" applyFont="1" applyAlignment="1" applyProtection="1">
      <alignment vertical="center"/>
      <protection locked="0"/>
    </xf>
    <xf numFmtId="43" fontId="6" fillId="0" borderId="0" xfId="1" applyFont="1" applyAlignment="1" applyProtection="1">
      <alignment vertical="center"/>
      <protection locked="0"/>
    </xf>
    <xf numFmtId="4" fontId="67" fillId="0" borderId="0" xfId="1" applyNumberFormat="1" applyFont="1" applyAlignment="1" applyProtection="1">
      <alignment vertical="center"/>
      <protection locked="0"/>
    </xf>
    <xf numFmtId="4" fontId="66" fillId="0" borderId="0" xfId="1" applyNumberFormat="1" applyFont="1" applyAlignment="1" applyProtection="1">
      <alignment horizontal="center" vertical="center"/>
      <protection locked="0"/>
    </xf>
    <xf numFmtId="0" fontId="66" fillId="0" borderId="0" xfId="0" applyFont="1" applyAlignment="1">
      <alignment vertical="center"/>
    </xf>
    <xf numFmtId="43" fontId="45" fillId="32" borderId="63" xfId="1" applyFont="1" applyFill="1" applyBorder="1" applyAlignment="1" applyProtection="1">
      <alignment horizontal="center" vertical="center" shrinkToFit="1"/>
      <protection locked="0"/>
    </xf>
    <xf numFmtId="9" fontId="4" fillId="0" borderId="66" xfId="9" applyFont="1" applyFill="1" applyBorder="1" applyAlignment="1">
      <alignment horizontal="right"/>
    </xf>
    <xf numFmtId="43" fontId="45" fillId="0" borderId="4" xfId="1" applyFont="1" applyFill="1" applyBorder="1" applyAlignment="1" applyProtection="1">
      <alignment horizontal="center" vertical="center" shrinkToFit="1"/>
      <protection locked="0"/>
    </xf>
    <xf numFmtId="0" fontId="69" fillId="11" borderId="0" xfId="1" applyNumberFormat="1" applyFont="1" applyFill="1" applyAlignment="1" applyProtection="1">
      <alignment horizontal="centerContinuous" vertical="center"/>
      <protection locked="0"/>
    </xf>
    <xf numFmtId="0" fontId="69" fillId="11" borderId="0" xfId="1" applyNumberFormat="1" applyFont="1" applyFill="1" applyAlignment="1" applyProtection="1">
      <alignment horizontal="center"/>
      <protection locked="0"/>
    </xf>
    <xf numFmtId="0" fontId="69" fillId="0" borderId="70" xfId="1" applyNumberFormat="1" applyFont="1" applyFill="1" applyBorder="1" applyAlignment="1" applyProtection="1">
      <alignment horizontal="center" vertical="center" shrinkToFit="1"/>
      <protection locked="0"/>
    </xf>
    <xf numFmtId="0" fontId="69" fillId="0" borderId="68" xfId="1" applyNumberFormat="1" applyFont="1" applyFill="1" applyBorder="1" applyAlignment="1" applyProtection="1">
      <alignment horizontal="center" vertical="center" shrinkToFit="1"/>
      <protection locked="0"/>
    </xf>
    <xf numFmtId="1" fontId="69" fillId="31" borderId="33" xfId="1" applyNumberFormat="1" applyFont="1" applyFill="1" applyBorder="1" applyAlignment="1" applyProtection="1">
      <alignment horizontal="center"/>
      <protection locked="0"/>
    </xf>
    <xf numFmtId="1" fontId="69" fillId="11" borderId="0" xfId="1" applyNumberFormat="1" applyFont="1" applyFill="1" applyBorder="1" applyAlignment="1" applyProtection="1">
      <alignment horizontal="center"/>
      <protection locked="0"/>
    </xf>
    <xf numFmtId="0" fontId="69" fillId="0" borderId="0" xfId="1" applyNumberFormat="1" applyFont="1" applyAlignment="1" applyProtection="1">
      <alignment horizontal="center"/>
      <protection locked="0"/>
    </xf>
    <xf numFmtId="0" fontId="69" fillId="0" borderId="0" xfId="1" applyNumberFormat="1" applyFont="1" applyAlignment="1" applyProtection="1">
      <alignment horizontal="center" vertical="center"/>
      <protection locked="0"/>
    </xf>
    <xf numFmtId="43" fontId="45" fillId="0" borderId="72" xfId="1" applyFont="1" applyFill="1" applyBorder="1" applyAlignment="1" applyProtection="1">
      <alignment horizontal="center" vertical="center" shrinkToFit="1"/>
      <protection locked="0"/>
    </xf>
    <xf numFmtId="43" fontId="45" fillId="0" borderId="63" xfId="1" applyFont="1" applyFill="1" applyBorder="1" applyAlignment="1" applyProtection="1">
      <alignment horizontal="center" vertical="center" shrinkToFit="1"/>
      <protection locked="0"/>
    </xf>
    <xf numFmtId="0" fontId="84" fillId="0" borderId="66" xfId="1" applyNumberFormat="1" applyFont="1" applyFill="1" applyBorder="1" applyAlignment="1" applyProtection="1">
      <alignment horizontal="center" vertical="center" shrinkToFit="1"/>
      <protection locked="0"/>
    </xf>
    <xf numFmtId="164" fontId="85" fillId="11" borderId="0" xfId="10" applyNumberFormat="1" applyFont="1" applyFill="1" applyAlignment="1"/>
    <xf numFmtId="43" fontId="28" fillId="11" borderId="0" xfId="11" applyFont="1" applyFill="1" applyBorder="1" applyAlignment="1"/>
    <xf numFmtId="0" fontId="70" fillId="5" borderId="4" xfId="8" applyFont="1" applyFill="1" applyBorder="1" applyAlignment="1" applyProtection="1">
      <alignment horizontal="center" vertical="center" wrapText="1"/>
      <protection locked="0"/>
    </xf>
    <xf numFmtId="0" fontId="76" fillId="0" borderId="113" xfId="1" applyNumberFormat="1" applyFont="1" applyFill="1" applyBorder="1" applyAlignment="1" applyProtection="1">
      <alignment horizontal="center" vertical="center" shrinkToFit="1"/>
      <protection locked="0"/>
    </xf>
    <xf numFmtId="0" fontId="71" fillId="0" borderId="113" xfId="1" applyNumberFormat="1" applyFont="1" applyFill="1" applyBorder="1" applyAlignment="1" applyProtection="1">
      <alignment horizontal="center" vertical="center" shrinkToFit="1"/>
      <protection locked="0"/>
    </xf>
    <xf numFmtId="0" fontId="71" fillId="0" borderId="110" xfId="1" applyNumberFormat="1" applyFont="1" applyFill="1" applyBorder="1" applyAlignment="1" applyProtection="1">
      <alignment horizontal="center" vertical="center" shrinkToFit="1"/>
      <protection locked="0"/>
    </xf>
    <xf numFmtId="164" fontId="28" fillId="29" borderId="0" xfId="10" applyNumberFormat="1" applyFont="1" applyFill="1" applyAlignment="1"/>
    <xf numFmtId="0" fontId="28" fillId="26" borderId="59" xfId="10" applyFont="1" applyFill="1" applyBorder="1" applyAlignment="1">
      <alignment horizontal="center" vertical="center"/>
    </xf>
    <xf numFmtId="0" fontId="86" fillId="11" borderId="0" xfId="12" applyFont="1" applyFill="1"/>
    <xf numFmtId="0" fontId="87" fillId="27" borderId="78" xfId="12" applyFont="1" applyFill="1" applyBorder="1" applyAlignment="1">
      <alignment horizontal="left" vertical="center"/>
    </xf>
    <xf numFmtId="0" fontId="87" fillId="27" borderId="93" xfId="12" applyFont="1" applyFill="1" applyBorder="1" applyAlignment="1">
      <alignment horizontal="center" vertical="center"/>
    </xf>
    <xf numFmtId="0" fontId="87" fillId="27" borderId="49" xfId="12" applyFont="1" applyFill="1" applyBorder="1" applyAlignment="1">
      <alignment horizontal="center" vertical="center"/>
    </xf>
    <xf numFmtId="0" fontId="87" fillId="11" borderId="0" xfId="12" applyFont="1" applyFill="1" applyAlignment="1">
      <alignment horizontal="center" vertical="center"/>
    </xf>
    <xf numFmtId="0" fontId="86" fillId="0" borderId="0" xfId="12" applyFont="1"/>
    <xf numFmtId="0" fontId="87" fillId="11" borderId="0" xfId="10" applyFont="1" applyFill="1" applyAlignment="1"/>
    <xf numFmtId="0" fontId="87" fillId="27" borderId="94" xfId="12" applyFont="1" applyFill="1" applyBorder="1" applyAlignment="1">
      <alignment horizontal="center" vertical="center"/>
    </xf>
    <xf numFmtId="0" fontId="87" fillId="27" borderId="17" xfId="12" applyFont="1" applyFill="1" applyBorder="1" applyAlignment="1">
      <alignment horizontal="center" vertical="center"/>
    </xf>
    <xf numFmtId="0" fontId="87" fillId="27" borderId="95" xfId="12" applyFont="1" applyFill="1" applyBorder="1" applyAlignment="1">
      <alignment horizontal="center" vertical="center"/>
    </xf>
    <xf numFmtId="0" fontId="87" fillId="0" borderId="0" xfId="10" applyFont="1" applyAlignment="1"/>
    <xf numFmtId="0" fontId="86" fillId="11" borderId="0" xfId="12" applyFont="1" applyFill="1" applyAlignment="1">
      <alignment vertical="center"/>
    </xf>
    <xf numFmtId="0" fontId="87" fillId="27" borderId="96" xfId="12" applyFont="1" applyFill="1" applyBorder="1" applyAlignment="1">
      <alignment horizontal="center" vertical="center"/>
    </xf>
    <xf numFmtId="0" fontId="87" fillId="27" borderId="85" xfId="12" applyFont="1" applyFill="1" applyBorder="1" applyAlignment="1">
      <alignment horizontal="center" vertical="center"/>
    </xf>
    <xf numFmtId="43" fontId="87" fillId="27" borderId="85" xfId="11" applyFont="1" applyFill="1" applyBorder="1" applyAlignment="1">
      <alignment horizontal="center" vertical="center"/>
    </xf>
    <xf numFmtId="0" fontId="87" fillId="27" borderId="86" xfId="12" applyFont="1" applyFill="1" applyBorder="1" applyAlignment="1">
      <alignment horizontal="center" vertical="center"/>
    </xf>
    <xf numFmtId="0" fontId="86" fillId="0" borderId="0" xfId="12" applyFont="1" applyAlignment="1">
      <alignment vertical="center"/>
    </xf>
    <xf numFmtId="0" fontId="37" fillId="11" borderId="0" xfId="10" applyFont="1" applyFill="1" applyAlignment="1">
      <alignment horizontal="centerContinuous"/>
    </xf>
    <xf numFmtId="43" fontId="37" fillId="11" borderId="0" xfId="11" applyFont="1" applyFill="1" applyAlignment="1">
      <alignment horizontal="centerContinuous"/>
    </xf>
    <xf numFmtId="0" fontId="37" fillId="0" borderId="0" xfId="10" applyFont="1"/>
    <xf numFmtId="0" fontId="37" fillId="11" borderId="0" xfId="10" applyFont="1" applyFill="1" applyBorder="1" applyAlignment="1"/>
    <xf numFmtId="0" fontId="37" fillId="24" borderId="17" xfId="10" applyFont="1" applyFill="1" applyBorder="1" applyAlignment="1"/>
    <xf numFmtId="0" fontId="37" fillId="10" borderId="0" xfId="10" applyFont="1" applyFill="1"/>
    <xf numFmtId="0" fontId="27" fillId="11" borderId="22" xfId="10" applyFont="1" applyFill="1" applyBorder="1" applyAlignment="1">
      <alignment horizontal="center"/>
    </xf>
    <xf numFmtId="0" fontId="30" fillId="11" borderId="24" xfId="10" applyFont="1" applyFill="1" applyBorder="1" applyAlignment="1">
      <alignment wrapText="1"/>
    </xf>
    <xf numFmtId="0" fontId="27" fillId="11" borderId="26" xfId="10" applyFont="1" applyFill="1" applyBorder="1" applyAlignment="1">
      <alignment horizontal="center"/>
    </xf>
    <xf numFmtId="0" fontId="30" fillId="11" borderId="24" xfId="10" applyFont="1" applyFill="1" applyBorder="1" applyAlignment="1">
      <alignment vertical="top" wrapText="1"/>
    </xf>
    <xf numFmtId="0" fontId="30" fillId="11" borderId="4" xfId="10" applyFont="1" applyFill="1" applyBorder="1" applyAlignment="1">
      <alignment vertical="top" wrapText="1"/>
    </xf>
    <xf numFmtId="0" fontId="30" fillId="11" borderId="4" xfId="10" applyFont="1" applyFill="1" applyBorder="1" applyAlignment="1">
      <alignment wrapText="1"/>
    </xf>
    <xf numFmtId="41" fontId="30" fillId="5" borderId="24" xfId="10" applyNumberFormat="1" applyFont="1" applyFill="1" applyBorder="1" applyAlignment="1">
      <alignment horizontal="center" vertical="top" wrapText="1"/>
    </xf>
    <xf numFmtId="41" fontId="30" fillId="5" borderId="4" xfId="10" applyNumberFormat="1" applyFont="1" applyFill="1" applyBorder="1" applyAlignment="1">
      <alignment horizontal="center" vertical="top"/>
    </xf>
    <xf numFmtId="0" fontId="30" fillId="5" borderId="24" xfId="10" applyFont="1" applyFill="1" applyBorder="1" applyAlignment="1">
      <alignment horizontal="center" vertical="top" wrapText="1"/>
    </xf>
    <xf numFmtId="0" fontId="30" fillId="5" borderId="4" xfId="10" applyFont="1" applyFill="1" applyBorder="1" applyAlignment="1">
      <alignment horizontal="center" vertical="top" wrapText="1"/>
    </xf>
    <xf numFmtId="0" fontId="66" fillId="0" borderId="65" xfId="6" applyFont="1" applyFill="1" applyBorder="1" applyAlignment="1" applyProtection="1">
      <alignment horizontal="center" vertical="center"/>
      <protection locked="0"/>
    </xf>
    <xf numFmtId="43" fontId="70" fillId="37" borderId="23" xfId="1" applyFont="1" applyFill="1" applyBorder="1" applyAlignment="1" applyProtection="1">
      <alignment horizontal="center" vertical="top" wrapText="1"/>
      <protection locked="0"/>
    </xf>
    <xf numFmtId="0" fontId="66" fillId="38" borderId="3" xfId="8" applyFont="1" applyFill="1" applyBorder="1" applyAlignment="1" applyProtection="1">
      <alignment horizontal="center" vertical="top" wrapText="1"/>
      <protection locked="0"/>
    </xf>
    <xf numFmtId="0" fontId="69" fillId="39" borderId="4" xfId="0" applyFont="1" applyFill="1" applyBorder="1" applyAlignment="1">
      <alignment horizontal="center" vertical="top" wrapText="1"/>
    </xf>
    <xf numFmtId="0" fontId="66" fillId="38" borderId="4" xfId="8" applyFont="1" applyFill="1" applyBorder="1" applyAlignment="1" applyProtection="1">
      <alignment horizontal="center" vertical="top" wrapText="1"/>
      <protection locked="0"/>
    </xf>
    <xf numFmtId="0" fontId="66" fillId="38" borderId="24" xfId="8" applyFont="1" applyFill="1" applyBorder="1" applyAlignment="1" applyProtection="1">
      <alignment horizontal="center" vertical="top" wrapText="1"/>
      <protection locked="0"/>
    </xf>
    <xf numFmtId="0" fontId="69" fillId="40" borderId="46" xfId="0" applyFont="1" applyFill="1" applyBorder="1" applyAlignment="1">
      <alignment horizontal="center" vertical="top" wrapText="1"/>
    </xf>
    <xf numFmtId="1" fontId="70" fillId="38" borderId="4" xfId="1" applyNumberFormat="1" applyFont="1" applyFill="1" applyBorder="1" applyAlignment="1" applyProtection="1">
      <alignment horizontal="center" vertical="top" wrapText="1"/>
      <protection locked="0"/>
    </xf>
    <xf numFmtId="0" fontId="69" fillId="41" borderId="68" xfId="1" applyNumberFormat="1" applyFont="1" applyFill="1" applyBorder="1" applyAlignment="1" applyProtection="1">
      <alignment horizontal="center" vertical="top" wrapText="1"/>
      <protection locked="0"/>
    </xf>
    <xf numFmtId="0" fontId="70" fillId="37" borderId="22" xfId="1" applyNumberFormat="1" applyFont="1" applyFill="1" applyBorder="1" applyAlignment="1" applyProtection="1">
      <alignment horizontal="center" vertical="top" wrapText="1"/>
      <protection locked="0"/>
    </xf>
    <xf numFmtId="43" fontId="70" fillId="37" borderId="59" xfId="1" applyFont="1" applyFill="1" applyBorder="1" applyAlignment="1" applyProtection="1">
      <alignment horizontal="center" vertical="top" wrapText="1"/>
      <protection locked="0"/>
    </xf>
    <xf numFmtId="0" fontId="69" fillId="41" borderId="93" xfId="1" applyNumberFormat="1" applyFont="1" applyFill="1" applyBorder="1" applyAlignment="1" applyProtection="1">
      <alignment horizontal="center" vertical="top" wrapText="1"/>
      <protection locked="0"/>
    </xf>
    <xf numFmtId="17" fontId="71" fillId="41" borderId="63" xfId="1" quotePrefix="1" applyNumberFormat="1" applyFont="1" applyFill="1" applyBorder="1" applyAlignment="1" applyProtection="1">
      <alignment horizontal="center" vertical="center" shrinkToFit="1"/>
      <protection locked="0"/>
    </xf>
    <xf numFmtId="10" fontId="69" fillId="41" borderId="69" xfId="1" quotePrefix="1" applyNumberFormat="1" applyFont="1" applyFill="1" applyBorder="1" applyAlignment="1" applyProtection="1">
      <alignment horizontal="center" vertical="center" shrinkToFit="1"/>
      <protection locked="0"/>
    </xf>
    <xf numFmtId="0" fontId="69" fillId="41" borderId="110" xfId="1" applyNumberFormat="1" applyFont="1" applyFill="1" applyBorder="1" applyAlignment="1" applyProtection="1">
      <alignment horizontal="center" vertical="top" wrapText="1"/>
      <protection locked="0"/>
    </xf>
    <xf numFmtId="0" fontId="71" fillId="41" borderId="81" xfId="1" applyNumberFormat="1" applyFont="1" applyFill="1" applyBorder="1" applyAlignment="1" applyProtection="1">
      <alignment horizontal="center" vertical="center" shrinkToFit="1"/>
      <protection locked="0"/>
    </xf>
    <xf numFmtId="0" fontId="71" fillId="41" borderId="117" xfId="1" applyNumberFormat="1" applyFont="1" applyFill="1" applyBorder="1" applyAlignment="1" applyProtection="1">
      <alignment horizontal="center" vertical="center" shrinkToFit="1"/>
      <protection locked="0"/>
    </xf>
    <xf numFmtId="43" fontId="71" fillId="41" borderId="117" xfId="1" applyFont="1" applyFill="1" applyBorder="1" applyAlignment="1" applyProtection="1">
      <alignment horizontal="center" vertical="center" shrinkToFit="1"/>
      <protection locked="0"/>
    </xf>
    <xf numFmtId="43" fontId="71" fillId="41" borderId="108" xfId="1" applyFont="1" applyFill="1" applyBorder="1" applyAlignment="1" applyProtection="1">
      <alignment horizontal="center" vertical="center" shrinkToFit="1"/>
      <protection locked="0"/>
    </xf>
    <xf numFmtId="0" fontId="71" fillId="8" borderId="63" xfId="6" applyFont="1" applyFill="1" applyBorder="1" applyAlignment="1" applyProtection="1">
      <alignment vertical="center" shrinkToFit="1"/>
      <protection locked="0"/>
    </xf>
    <xf numFmtId="0" fontId="70" fillId="8" borderId="66" xfId="6" applyFont="1" applyFill="1" applyBorder="1" applyAlignment="1" applyProtection="1">
      <alignment vertical="center" shrinkToFit="1"/>
      <protection locked="0"/>
    </xf>
    <xf numFmtId="0" fontId="83" fillId="8" borderId="66" xfId="6" applyFont="1" applyFill="1" applyBorder="1" applyAlignment="1" applyProtection="1">
      <alignment vertical="center" shrinkToFit="1"/>
      <protection locked="0"/>
    </xf>
    <xf numFmtId="0" fontId="83" fillId="8" borderId="4" xfId="6" applyFont="1" applyFill="1" applyBorder="1" applyAlignment="1" applyProtection="1">
      <alignment horizontal="left" vertical="center" shrinkToFit="1"/>
      <protection locked="0"/>
    </xf>
    <xf numFmtId="0" fontId="83" fillId="8" borderId="66" xfId="6" applyFont="1" applyFill="1" applyBorder="1" applyAlignment="1" applyProtection="1">
      <alignment vertical="top" wrapText="1" shrinkToFit="1"/>
      <protection locked="0"/>
    </xf>
    <xf numFmtId="0" fontId="76" fillId="8" borderId="66" xfId="6" applyFont="1" applyFill="1" applyBorder="1" applyAlignment="1" applyProtection="1">
      <alignment vertical="center" shrinkToFit="1"/>
      <protection locked="0"/>
    </xf>
    <xf numFmtId="0" fontId="76" fillId="8" borderId="4" xfId="6" applyFont="1" applyFill="1" applyBorder="1" applyAlignment="1" applyProtection="1">
      <alignment horizontal="left" vertical="center" shrinkToFit="1"/>
      <protection locked="0"/>
    </xf>
    <xf numFmtId="0" fontId="82" fillId="8" borderId="66" xfId="6" applyFont="1" applyFill="1" applyBorder="1" applyAlignment="1" applyProtection="1">
      <alignment vertical="center" shrinkToFit="1"/>
      <protection locked="0"/>
    </xf>
    <xf numFmtId="43" fontId="64" fillId="11" borderId="0" xfId="1" applyFont="1" applyFill="1" applyBorder="1" applyAlignment="1" applyProtection="1">
      <alignment horizontal="center"/>
      <protection locked="0"/>
    </xf>
    <xf numFmtId="43" fontId="67" fillId="11" borderId="0" xfId="1" applyFont="1" applyFill="1" applyAlignment="1" applyProtection="1">
      <alignment horizontal="center" vertical="center"/>
      <protection locked="0"/>
    </xf>
    <xf numFmtId="43" fontId="69" fillId="41" borderId="0" xfId="1" applyFont="1" applyFill="1" applyBorder="1" applyAlignment="1" applyProtection="1">
      <alignment horizontal="center" vertical="top" wrapText="1"/>
      <protection locked="0"/>
    </xf>
    <xf numFmtId="43" fontId="69" fillId="41" borderId="111" xfId="1" applyFont="1" applyFill="1" applyBorder="1" applyAlignment="1" applyProtection="1">
      <alignment horizontal="center" vertical="top" wrapText="1"/>
      <protection locked="0"/>
    </xf>
    <xf numFmtId="43" fontId="69" fillId="41" borderId="112" xfId="1" applyFont="1" applyFill="1" applyBorder="1" applyAlignment="1" applyProtection="1">
      <alignment horizontal="center" vertical="top" wrapText="1"/>
      <protection locked="0"/>
    </xf>
    <xf numFmtId="43" fontId="71" fillId="41" borderId="114" xfId="1" applyFont="1" applyFill="1" applyBorder="1" applyAlignment="1" applyProtection="1">
      <alignment horizontal="center" vertical="center" shrinkToFit="1"/>
      <protection locked="0"/>
    </xf>
    <xf numFmtId="43" fontId="76" fillId="0" borderId="115" xfId="1" applyFont="1" applyFill="1" applyBorder="1" applyAlignment="1" applyProtection="1">
      <alignment horizontal="center" vertical="center" shrinkToFit="1"/>
      <protection locked="0"/>
    </xf>
    <xf numFmtId="43" fontId="76" fillId="0" borderId="109" xfId="1" applyFont="1" applyFill="1" applyBorder="1" applyAlignment="1" applyProtection="1">
      <alignment horizontal="center" vertical="center" shrinkToFit="1"/>
      <protection locked="0"/>
    </xf>
    <xf numFmtId="43" fontId="76" fillId="0" borderId="64" xfId="1" applyFont="1" applyFill="1" applyBorder="1" applyAlignment="1" applyProtection="1">
      <alignment horizontal="center" vertical="center" shrinkToFit="1"/>
      <protection locked="0"/>
    </xf>
    <xf numFmtId="43" fontId="71" fillId="0" borderId="115" xfId="1" applyFont="1" applyFill="1" applyBorder="1" applyAlignment="1" applyProtection="1">
      <alignment horizontal="center" vertical="center" shrinkToFit="1"/>
      <protection locked="0"/>
    </xf>
    <xf numFmtId="43" fontId="71" fillId="0" borderId="109" xfId="1" applyFont="1" applyFill="1" applyBorder="1" applyAlignment="1" applyProtection="1">
      <alignment horizontal="center" vertical="center" shrinkToFit="1"/>
      <protection locked="0"/>
    </xf>
    <xf numFmtId="43" fontId="71" fillId="0" borderId="64" xfId="1" applyFont="1" applyFill="1" applyBorder="1" applyAlignment="1" applyProtection="1">
      <alignment horizontal="center" vertical="center" shrinkToFit="1"/>
      <protection locked="0"/>
    </xf>
    <xf numFmtId="43" fontId="71" fillId="0" borderId="116" xfId="1" applyFont="1" applyFill="1" applyBorder="1" applyAlignment="1" applyProtection="1">
      <alignment horizontal="center" vertical="center" shrinkToFit="1"/>
      <protection locked="0"/>
    </xf>
    <xf numFmtId="43" fontId="71" fillId="0" borderId="111" xfId="1" applyFont="1" applyFill="1" applyBorder="1" applyAlignment="1" applyProtection="1">
      <alignment horizontal="center" vertical="center" shrinkToFit="1"/>
      <protection locked="0"/>
    </xf>
    <xf numFmtId="43" fontId="71" fillId="0" borderId="118" xfId="1" applyFont="1" applyFill="1" applyBorder="1" applyAlignment="1" applyProtection="1">
      <alignment horizontal="center" vertical="center" shrinkToFit="1"/>
      <protection locked="0"/>
    </xf>
    <xf numFmtId="43" fontId="71" fillId="41" borderId="107" xfId="1" applyFont="1" applyFill="1" applyBorder="1" applyAlignment="1" applyProtection="1">
      <alignment horizontal="center" vertical="center" shrinkToFit="1"/>
      <protection locked="0"/>
    </xf>
    <xf numFmtId="43" fontId="67" fillId="0" borderId="0" xfId="1" applyFont="1" applyAlignment="1" applyProtection="1">
      <alignment horizontal="center"/>
      <protection locked="0"/>
    </xf>
    <xf numFmtId="43" fontId="67" fillId="0" borderId="0" xfId="1" applyFont="1" applyAlignment="1" applyProtection="1">
      <alignment horizontal="center" vertical="center"/>
      <protection locked="0"/>
    </xf>
    <xf numFmtId="43" fontId="90" fillId="0" borderId="115" xfId="1" applyFont="1" applyFill="1" applyBorder="1" applyAlignment="1" applyProtection="1">
      <alignment horizontal="center" vertical="center" shrinkToFit="1"/>
      <protection locked="0"/>
    </xf>
    <xf numFmtId="1" fontId="91" fillId="0" borderId="4" xfId="1" applyNumberFormat="1" applyFont="1" applyFill="1" applyBorder="1" applyAlignment="1" applyProtection="1">
      <alignment horizontal="center" vertical="center" shrinkToFit="1"/>
      <protection locked="0"/>
    </xf>
    <xf numFmtId="1" fontId="74" fillId="25" borderId="6" xfId="1" quotePrefix="1" applyNumberFormat="1" applyFont="1" applyFill="1" applyBorder="1" applyAlignment="1" applyProtection="1">
      <alignment horizontal="center" vertical="center" shrinkToFit="1"/>
      <protection locked="0"/>
    </xf>
    <xf numFmtId="43" fontId="74" fillId="25" borderId="123" xfId="1" applyFont="1" applyFill="1" applyBorder="1" applyAlignment="1" applyProtection="1">
      <alignment horizontal="center" vertical="center" shrinkToFit="1"/>
      <protection locked="0"/>
    </xf>
    <xf numFmtId="43" fontId="92" fillId="0" borderId="66" xfId="1" applyFont="1" applyFill="1" applyBorder="1" applyAlignment="1" applyProtection="1">
      <alignment horizontal="center" vertical="center" shrinkToFit="1"/>
      <protection locked="0"/>
    </xf>
    <xf numFmtId="1" fontId="92" fillId="11" borderId="122" xfId="1" quotePrefix="1" applyNumberFormat="1" applyFont="1" applyFill="1" applyBorder="1" applyAlignment="1" applyProtection="1">
      <alignment horizontal="center" vertical="center" shrinkToFit="1"/>
      <protection locked="0"/>
    </xf>
    <xf numFmtId="43" fontId="92" fillId="11" borderId="122" xfId="1" applyFont="1" applyFill="1" applyBorder="1" applyAlignment="1" applyProtection="1">
      <alignment horizontal="center" vertical="center" shrinkToFit="1"/>
      <protection locked="0"/>
    </xf>
    <xf numFmtId="1" fontId="62" fillId="25" borderId="6" xfId="1" quotePrefix="1" applyNumberFormat="1" applyFont="1" applyFill="1" applyBorder="1" applyAlignment="1" applyProtection="1">
      <alignment horizontal="center" vertical="center" shrinkToFit="1"/>
      <protection locked="0"/>
    </xf>
    <xf numFmtId="1" fontId="62" fillId="25" borderId="122" xfId="1" quotePrefix="1" applyNumberFormat="1" applyFont="1" applyFill="1" applyBorder="1" applyAlignment="1" applyProtection="1">
      <alignment horizontal="center" vertical="center" shrinkToFit="1"/>
      <protection locked="0"/>
    </xf>
    <xf numFmtId="43" fontId="62" fillId="25" borderId="16" xfId="1" applyFont="1" applyFill="1" applyBorder="1" applyAlignment="1" applyProtection="1">
      <alignment horizontal="center" vertical="center" shrinkToFit="1"/>
      <protection locked="0"/>
    </xf>
    <xf numFmtId="43" fontId="62" fillId="25" borderId="122" xfId="1" applyFont="1" applyFill="1" applyBorder="1" applyAlignment="1" applyProtection="1">
      <alignment horizontal="center" vertical="center" shrinkToFit="1"/>
      <protection locked="0"/>
    </xf>
    <xf numFmtId="43" fontId="46" fillId="32" borderId="16" xfId="1" applyFont="1" applyFill="1" applyBorder="1" applyAlignment="1" applyProtection="1">
      <alignment horizontal="center" vertical="center" shrinkToFit="1"/>
      <protection locked="0"/>
    </xf>
    <xf numFmtId="43" fontId="46" fillId="32" borderId="122" xfId="1" applyFont="1" applyFill="1" applyBorder="1" applyAlignment="1" applyProtection="1">
      <alignment horizontal="center" vertical="center" shrinkToFit="1"/>
      <protection locked="0"/>
    </xf>
    <xf numFmtId="0" fontId="93" fillId="18" borderId="0" xfId="1" applyNumberFormat="1" applyFont="1" applyFill="1" applyBorder="1" applyAlignment="1" applyProtection="1">
      <alignment horizontal="center"/>
      <protection locked="0"/>
    </xf>
    <xf numFmtId="0" fontId="22" fillId="31" borderId="124" xfId="12" applyFont="1" applyFill="1" applyBorder="1" applyAlignment="1">
      <alignment horizontal="center"/>
    </xf>
    <xf numFmtId="9" fontId="22" fillId="31" borderId="101" xfId="9" applyFont="1" applyFill="1" applyBorder="1" applyAlignment="1">
      <alignment horizontal="center"/>
    </xf>
    <xf numFmtId="0" fontId="38" fillId="31" borderId="101" xfId="12" applyFont="1" applyFill="1" applyBorder="1"/>
    <xf numFmtId="43" fontId="22" fillId="31" borderId="101" xfId="9" applyNumberFormat="1" applyFont="1" applyFill="1" applyBorder="1" applyAlignment="1">
      <alignment horizontal="center"/>
    </xf>
    <xf numFmtId="43" fontId="22" fillId="31" borderId="125" xfId="11" applyFont="1" applyFill="1" applyBorder="1" applyAlignment="1"/>
    <xf numFmtId="43" fontId="22" fillId="10" borderId="71" xfId="11" applyFont="1" applyFill="1" applyBorder="1" applyAlignment="1"/>
    <xf numFmtId="0" fontId="22" fillId="31" borderId="71" xfId="12" applyFont="1" applyFill="1" applyBorder="1"/>
    <xf numFmtId="43" fontId="22" fillId="10" borderId="71" xfId="12" applyNumberFormat="1" applyFont="1" applyFill="1" applyBorder="1"/>
    <xf numFmtId="0" fontId="22" fillId="31" borderId="71" xfId="12" applyFont="1" applyFill="1" applyBorder="1" applyAlignment="1">
      <alignment horizontal="center"/>
    </xf>
    <xf numFmtId="0" fontId="22" fillId="31" borderId="126" xfId="12" applyFont="1" applyFill="1" applyBorder="1" applyAlignment="1">
      <alignment horizontal="center"/>
    </xf>
    <xf numFmtId="0" fontId="32" fillId="0" borderId="85" xfId="12" applyFont="1" applyBorder="1"/>
    <xf numFmtId="43" fontId="13" fillId="0" borderId="85" xfId="9" applyNumberFormat="1" applyFont="1" applyBorder="1" applyAlignment="1">
      <alignment horizontal="center"/>
    </xf>
    <xf numFmtId="43" fontId="13" fillId="0" borderId="85" xfId="11" applyFont="1" applyFill="1" applyBorder="1" applyAlignment="1"/>
    <xf numFmtId="43" fontId="13" fillId="0" borderId="85" xfId="12" applyNumberFormat="1" applyFont="1" applyBorder="1" applyAlignment="1">
      <alignment horizontal="center"/>
    </xf>
    <xf numFmtId="43" fontId="13" fillId="18" borderId="85" xfId="1" applyFont="1" applyFill="1" applyBorder="1" applyAlignment="1"/>
    <xf numFmtId="0" fontId="13" fillId="0" borderId="85" xfId="12" applyFont="1" applyBorder="1" applyAlignment="1">
      <alignment horizontal="center"/>
    </xf>
    <xf numFmtId="0" fontId="13" fillId="0" borderId="86" xfId="12" applyFont="1" applyBorder="1" applyAlignment="1">
      <alignment horizontal="center"/>
    </xf>
    <xf numFmtId="1" fontId="62" fillId="0" borderId="122" xfId="1" quotePrefix="1" applyNumberFormat="1" applyFont="1" applyFill="1" applyBorder="1" applyAlignment="1" applyProtection="1">
      <alignment horizontal="center" vertical="center" shrinkToFit="1"/>
      <protection locked="0"/>
    </xf>
    <xf numFmtId="43" fontId="62" fillId="0" borderId="122" xfId="1" applyFont="1" applyFill="1" applyBorder="1" applyAlignment="1" applyProtection="1">
      <alignment horizontal="center" vertical="center" shrinkToFit="1"/>
      <protection locked="0"/>
    </xf>
    <xf numFmtId="43" fontId="46" fillId="0" borderId="122" xfId="1" applyFont="1" applyFill="1" applyBorder="1" applyAlignment="1" applyProtection="1">
      <alignment horizontal="center" vertical="center" shrinkToFit="1"/>
      <protection locked="0"/>
    </xf>
    <xf numFmtId="43" fontId="45" fillId="32" borderId="66" xfId="1" applyFont="1" applyFill="1" applyBorder="1" applyAlignment="1">
      <alignment horizontal="center"/>
    </xf>
    <xf numFmtId="9" fontId="4" fillId="0" borderId="4" xfId="9" applyFont="1" applyFill="1" applyBorder="1" applyAlignment="1" applyProtection="1">
      <alignment horizontal="right" vertical="center" shrinkToFit="1"/>
      <protection locked="0"/>
    </xf>
    <xf numFmtId="43" fontId="71" fillId="24" borderId="128" xfId="1" applyFont="1" applyFill="1" applyBorder="1" applyAlignment="1" applyProtection="1">
      <alignment vertical="center"/>
      <protection locked="0"/>
    </xf>
    <xf numFmtId="43" fontId="71" fillId="0" borderId="127" xfId="1" applyFont="1" applyFill="1" applyBorder="1" applyAlignment="1" applyProtection="1">
      <alignment vertical="center"/>
      <protection locked="0"/>
    </xf>
    <xf numFmtId="43" fontId="67" fillId="23" borderId="130" xfId="1" applyFont="1" applyFill="1" applyBorder="1" applyProtection="1">
      <protection hidden="1"/>
    </xf>
    <xf numFmtId="43" fontId="72" fillId="23" borderId="129" xfId="1" applyFont="1" applyFill="1" applyBorder="1" applyProtection="1">
      <protection hidden="1"/>
    </xf>
    <xf numFmtId="43" fontId="72" fillId="31" borderId="132" xfId="1" applyFont="1" applyFill="1" applyBorder="1" applyAlignment="1" applyProtection="1">
      <alignment vertical="center" shrinkToFit="1"/>
      <protection locked="0"/>
    </xf>
    <xf numFmtId="43" fontId="72" fillId="31" borderId="131" xfId="1" applyFont="1" applyFill="1" applyBorder="1" applyAlignment="1" applyProtection="1">
      <alignment vertical="center" shrinkToFit="1"/>
      <protection locked="0"/>
    </xf>
    <xf numFmtId="0" fontId="37" fillId="11" borderId="0" xfId="10" applyFont="1" applyFill="1" applyAlignment="1"/>
    <xf numFmtId="17" fontId="84" fillId="0" borderId="66" xfId="1" applyNumberFormat="1" applyFont="1" applyFill="1" applyBorder="1" applyAlignment="1" applyProtection="1">
      <alignment horizontal="center" vertical="center" shrinkToFit="1"/>
      <protection locked="0"/>
    </xf>
    <xf numFmtId="43" fontId="92" fillId="0" borderId="128" xfId="1" applyFont="1" applyFill="1" applyBorder="1" applyAlignment="1" applyProtection="1">
      <alignment horizontal="center" vertical="center" shrinkToFit="1"/>
      <protection locked="0"/>
    </xf>
    <xf numFmtId="1" fontId="92" fillId="0" borderId="66" xfId="1" applyNumberFormat="1" applyFont="1" applyFill="1" applyBorder="1" applyAlignment="1" applyProtection="1">
      <alignment horizontal="center" vertical="center" shrinkToFit="1"/>
      <protection locked="0"/>
    </xf>
    <xf numFmtId="0" fontId="71" fillId="0" borderId="127" xfId="6" applyFont="1" applyBorder="1" applyAlignment="1" applyProtection="1">
      <alignment vertical="center"/>
      <protection locked="0"/>
    </xf>
    <xf numFmtId="0" fontId="70" fillId="0" borderId="113" xfId="1" applyNumberFormat="1" applyFont="1" applyFill="1" applyBorder="1" applyAlignment="1" applyProtection="1">
      <alignment horizontal="center" vertical="center" shrinkToFit="1"/>
      <protection locked="0"/>
    </xf>
    <xf numFmtId="0" fontId="66" fillId="0" borderId="113" xfId="1" applyNumberFormat="1" applyFont="1" applyFill="1" applyBorder="1" applyAlignment="1" applyProtection="1">
      <alignment horizontal="center" vertical="center" shrinkToFit="1"/>
      <protection locked="0"/>
    </xf>
    <xf numFmtId="0" fontId="30" fillId="0" borderId="51" xfId="10" applyFont="1" applyBorder="1" applyAlignment="1">
      <alignment horizontal="left"/>
    </xf>
    <xf numFmtId="0" fontId="30" fillId="0" borderId="51" xfId="11" applyNumberFormat="1" applyFont="1" applyBorder="1" applyAlignment="1">
      <alignment horizontal="center"/>
    </xf>
    <xf numFmtId="43" fontId="30" fillId="0" borderId="51" xfId="11" applyFont="1" applyBorder="1" applyAlignment="1"/>
    <xf numFmtId="43" fontId="31" fillId="8" borderId="51" xfId="11" applyFont="1" applyFill="1" applyBorder="1" applyAlignment="1"/>
    <xf numFmtId="43" fontId="30" fillId="0" borderId="133" xfId="11" applyFont="1" applyFill="1" applyBorder="1" applyAlignment="1"/>
    <xf numFmtId="0" fontId="27" fillId="5" borderId="30" xfId="10" applyFont="1" applyFill="1" applyBorder="1" applyAlignment="1">
      <alignment horizontal="center"/>
    </xf>
    <xf numFmtId="0" fontId="30" fillId="11" borderId="32" xfId="10" applyFont="1" applyFill="1" applyBorder="1" applyAlignment="1">
      <alignment horizontal="right"/>
    </xf>
    <xf numFmtId="0" fontId="30" fillId="0" borderId="85" xfId="10" applyFont="1" applyBorder="1" applyAlignment="1">
      <alignment horizontal="left"/>
    </xf>
    <xf numFmtId="41" fontId="13" fillId="5" borderId="32" xfId="10" applyNumberFormat="1" applyFont="1" applyFill="1" applyBorder="1" applyAlignment="1">
      <alignment horizontal="center"/>
    </xf>
    <xf numFmtId="0" fontId="31" fillId="5" borderId="85" xfId="11" applyNumberFormat="1" applyFont="1" applyFill="1" applyBorder="1" applyAlignment="1">
      <alignment horizontal="center"/>
    </xf>
    <xf numFmtId="43" fontId="31" fillId="5" borderId="85" xfId="11" applyFont="1" applyFill="1" applyBorder="1" applyAlignment="1"/>
    <xf numFmtId="43" fontId="31" fillId="8" borderId="85" xfId="11" applyFont="1" applyFill="1" applyBorder="1" applyAlignment="1"/>
    <xf numFmtId="43" fontId="30" fillId="5" borderId="86" xfId="11" applyFont="1" applyFill="1" applyBorder="1" applyAlignment="1"/>
    <xf numFmtId="1" fontId="82" fillId="0" borderId="66" xfId="1" applyNumberFormat="1" applyFont="1" applyFill="1" applyBorder="1" applyAlignment="1" applyProtection="1">
      <alignment horizontal="center" vertical="center" shrinkToFit="1"/>
      <protection locked="0"/>
    </xf>
    <xf numFmtId="0" fontId="66" fillId="11" borderId="63" xfId="0" applyFont="1" applyFill="1" applyBorder="1" applyAlignment="1" applyProtection="1">
      <alignment horizontal="center"/>
      <protection locked="0"/>
    </xf>
    <xf numFmtId="0" fontId="71" fillId="0" borderId="134" xfId="1" applyNumberFormat="1" applyFont="1" applyFill="1" applyBorder="1" applyAlignment="1" applyProtection="1">
      <alignment horizontal="center" vertical="center" shrinkToFit="1"/>
      <protection locked="0"/>
    </xf>
    <xf numFmtId="43" fontId="71" fillId="0" borderId="135" xfId="1" applyFont="1" applyFill="1" applyBorder="1" applyAlignment="1" applyProtection="1">
      <alignment horizontal="center" vertical="center" shrinkToFit="1"/>
      <protection locked="0"/>
    </xf>
    <xf numFmtId="43" fontId="71" fillId="0" borderId="136" xfId="1" applyFont="1" applyFill="1" applyBorder="1" applyAlignment="1" applyProtection="1">
      <alignment horizontal="center" vertical="center" shrinkToFit="1"/>
      <protection locked="0"/>
    </xf>
    <xf numFmtId="43" fontId="71" fillId="0" borderId="137" xfId="1" applyFont="1" applyFill="1" applyBorder="1" applyAlignment="1" applyProtection="1">
      <alignment horizontal="center" vertical="center" shrinkToFit="1"/>
      <protection locked="0"/>
    </xf>
    <xf numFmtId="43" fontId="54" fillId="0" borderId="138" xfId="1" applyFont="1" applyFill="1" applyBorder="1" applyAlignment="1" applyProtection="1">
      <alignment horizontal="left" vertical="center" shrinkToFit="1"/>
      <protection locked="0"/>
    </xf>
    <xf numFmtId="0" fontId="67" fillId="31" borderId="139" xfId="0" applyFont="1" applyFill="1" applyBorder="1" applyProtection="1">
      <protection locked="0"/>
    </xf>
    <xf numFmtId="1" fontId="65" fillId="31" borderId="33" xfId="1" applyNumberFormat="1" applyFont="1" applyFill="1" applyBorder="1" applyAlignment="1" applyProtection="1">
      <alignment horizontal="center"/>
      <protection locked="0"/>
    </xf>
    <xf numFmtId="43" fontId="65" fillId="31" borderId="33" xfId="1" applyFont="1" applyFill="1" applyBorder="1" applyAlignment="1" applyProtection="1">
      <alignment horizontal="center"/>
      <protection locked="0"/>
    </xf>
    <xf numFmtId="0" fontId="67" fillId="31" borderId="33" xfId="1" applyNumberFormat="1" applyFont="1" applyFill="1" applyBorder="1" applyAlignment="1" applyProtection="1">
      <alignment horizontal="center"/>
      <protection locked="0"/>
    </xf>
    <xf numFmtId="43" fontId="6" fillId="31" borderId="33" xfId="1" applyFont="1" applyFill="1" applyBorder="1" applyAlignment="1" applyProtection="1">
      <alignment horizontal="center"/>
      <protection locked="0"/>
    </xf>
    <xf numFmtId="43" fontId="61" fillId="31" borderId="33" xfId="1" applyFont="1" applyFill="1" applyBorder="1" applyAlignment="1" applyProtection="1">
      <alignment horizontal="center"/>
      <protection locked="0"/>
    </xf>
    <xf numFmtId="43" fontId="67" fillId="31" borderId="140" xfId="1" applyFont="1" applyFill="1" applyBorder="1" applyAlignment="1" applyProtection="1">
      <alignment horizontal="center"/>
      <protection locked="0"/>
    </xf>
    <xf numFmtId="43" fontId="78" fillId="36" borderId="121" xfId="1" applyFont="1" applyFill="1" applyBorder="1" applyAlignment="1" applyProtection="1">
      <alignment horizontal="center" vertical="center"/>
      <protection locked="0"/>
    </xf>
    <xf numFmtId="43" fontId="78" fillId="36" borderId="0" xfId="1" applyFont="1" applyFill="1" applyBorder="1" applyAlignment="1" applyProtection="1">
      <alignment horizontal="center" vertical="center"/>
      <protection locked="0"/>
    </xf>
    <xf numFmtId="43" fontId="78" fillId="36" borderId="39" xfId="1" applyFont="1" applyFill="1" applyBorder="1" applyAlignment="1" applyProtection="1">
      <alignment horizontal="center" vertical="center"/>
      <protection locked="0"/>
    </xf>
    <xf numFmtId="43" fontId="78" fillId="35" borderId="0" xfId="1" applyFont="1" applyFill="1" applyBorder="1" applyAlignment="1" applyProtection="1">
      <alignment horizontal="center" vertical="center"/>
      <protection locked="0"/>
    </xf>
    <xf numFmtId="43" fontId="78" fillId="35" borderId="39" xfId="1" applyFont="1" applyFill="1" applyBorder="1" applyAlignment="1" applyProtection="1">
      <alignment horizontal="center" vertical="center"/>
      <protection locked="0"/>
    </xf>
    <xf numFmtId="0" fontId="64" fillId="11" borderId="0" xfId="3" applyFont="1" applyFill="1" applyBorder="1" applyAlignment="1" applyProtection="1">
      <alignment horizontal="left"/>
      <protection locked="0"/>
    </xf>
    <xf numFmtId="43" fontId="88" fillId="42" borderId="78" xfId="1" applyFont="1" applyFill="1" applyBorder="1" applyAlignment="1" applyProtection="1">
      <alignment horizontal="center" vertical="center"/>
      <protection locked="0"/>
    </xf>
    <xf numFmtId="43" fontId="88" fillId="42" borderId="93" xfId="1" applyFont="1" applyFill="1" applyBorder="1" applyAlignment="1" applyProtection="1">
      <alignment horizontal="center" vertical="center"/>
      <protection locked="0"/>
    </xf>
    <xf numFmtId="43" fontId="88" fillId="42" borderId="49" xfId="1" applyFont="1" applyFill="1" applyBorder="1" applyAlignment="1" applyProtection="1">
      <alignment horizontal="center" vertical="center"/>
      <protection locked="0"/>
    </xf>
    <xf numFmtId="43" fontId="89" fillId="42" borderId="119" xfId="1" applyFont="1" applyFill="1" applyBorder="1" applyAlignment="1" applyProtection="1">
      <alignment horizontal="center" vertical="center"/>
      <protection locked="0"/>
    </xf>
    <xf numFmtId="43" fontId="89" fillId="42" borderId="120" xfId="1" applyFont="1" applyFill="1" applyBorder="1" applyAlignment="1" applyProtection="1">
      <alignment horizontal="center" vertical="center"/>
      <protection locked="0"/>
    </xf>
    <xf numFmtId="43" fontId="89" fillId="42" borderId="50" xfId="1" applyFont="1" applyFill="1" applyBorder="1" applyAlignment="1" applyProtection="1">
      <alignment horizontal="center" vertical="center"/>
      <protection locked="0"/>
    </xf>
    <xf numFmtId="43" fontId="78" fillId="35" borderId="93" xfId="1" applyFont="1" applyFill="1" applyBorder="1" applyAlignment="1" applyProtection="1">
      <alignment horizontal="center" vertical="center"/>
      <protection locked="0"/>
    </xf>
    <xf numFmtId="43" fontId="78" fillId="35" borderId="49" xfId="1" applyFont="1" applyFill="1" applyBorder="1" applyAlignment="1" applyProtection="1">
      <alignment horizontal="center" vertical="center"/>
      <protection locked="0"/>
    </xf>
    <xf numFmtId="43" fontId="78" fillId="36" borderId="78" xfId="1" applyFont="1" applyFill="1" applyBorder="1" applyAlignment="1" applyProtection="1">
      <alignment horizontal="center" vertical="center"/>
      <protection locked="0"/>
    </xf>
    <xf numFmtId="43" fontId="78" fillId="36" borderId="93" xfId="1" applyFont="1" applyFill="1" applyBorder="1" applyAlignment="1" applyProtection="1">
      <alignment horizontal="center" vertical="center"/>
      <protection locked="0"/>
    </xf>
    <xf numFmtId="43" fontId="78" fillId="36" borderId="49" xfId="1" applyFont="1" applyFill="1" applyBorder="1" applyAlignment="1" applyProtection="1">
      <alignment horizontal="center" vertical="center"/>
      <protection locked="0"/>
    </xf>
    <xf numFmtId="43" fontId="28" fillId="11" borderId="0" xfId="11" applyFont="1" applyFill="1" applyBorder="1" applyAlignment="1">
      <alignment horizontal="left" vertical="center" wrapText="1"/>
    </xf>
    <xf numFmtId="0" fontId="8" fillId="19" borderId="46" xfId="12" applyFont="1" applyFill="1" applyBorder="1" applyAlignment="1">
      <alignment horizontal="center" vertical="center"/>
    </xf>
    <xf numFmtId="0" fontId="8" fillId="0" borderId="0" xfId="10" applyFont="1" applyAlignment="1">
      <alignment horizontal="left"/>
    </xf>
    <xf numFmtId="0" fontId="48" fillId="0" borderId="0" xfId="10" applyFont="1" applyAlignment="1">
      <alignment horizontal="left"/>
    </xf>
    <xf numFmtId="0" fontId="22" fillId="0" borderId="35" xfId="10" applyFont="1" applyBorder="1" applyAlignment="1">
      <alignment horizontal="center" vertical="top" wrapText="1"/>
    </xf>
    <xf numFmtId="0" fontId="22" fillId="0" borderId="4" xfId="10" applyFont="1" applyBorder="1" applyAlignment="1">
      <alignment horizontal="center" vertical="top" wrapText="1"/>
    </xf>
    <xf numFmtId="0" fontId="22" fillId="0" borderId="20"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34" xfId="10" applyFont="1" applyFill="1" applyBorder="1" applyAlignment="1">
      <alignment horizontal="center" vertical="top" wrapText="1"/>
    </xf>
    <xf numFmtId="0" fontId="22" fillId="5" borderId="36" xfId="10" applyFont="1" applyFill="1" applyBorder="1" applyAlignment="1">
      <alignment horizontal="center" vertical="top" wrapText="1"/>
    </xf>
    <xf numFmtId="0" fontId="22" fillId="5" borderId="46" xfId="10" applyFont="1" applyFill="1" applyBorder="1" applyAlignment="1">
      <alignment horizontal="center" vertical="top" wrapText="1"/>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0" xfId="10" applyFont="1" applyFill="1" applyBorder="1" applyAlignment="1">
      <alignment horizontal="center" vertical="top"/>
    </xf>
    <xf numFmtId="41" fontId="13" fillId="5" borderId="5" xfId="10" applyNumberFormat="1" applyFont="1" applyFill="1" applyBorder="1" applyAlignment="1">
      <alignment horizontal="center" vertical="top" wrapText="1"/>
    </xf>
    <xf numFmtId="41" fontId="13" fillId="5" borderId="4" xfId="10" applyNumberFormat="1" applyFont="1" applyFill="1" applyBorder="1" applyAlignment="1">
      <alignment horizontal="center" vertical="top"/>
    </xf>
    <xf numFmtId="41" fontId="13" fillId="5" borderId="20" xfId="10" applyNumberFormat="1" applyFont="1" applyFill="1" applyBorder="1" applyAlignment="1">
      <alignment horizontal="center" vertical="top"/>
    </xf>
    <xf numFmtId="0" fontId="13" fillId="5" borderId="4" xfId="10" applyFont="1" applyFill="1" applyBorder="1" applyAlignment="1">
      <alignment horizontal="center" vertical="top" wrapText="1"/>
    </xf>
    <xf numFmtId="0" fontId="13" fillId="5" borderId="20" xfId="10" applyFont="1" applyFill="1" applyBorder="1" applyAlignment="1">
      <alignment horizontal="center" vertical="top" wrapText="1"/>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110">
    <dxf>
      <font>
        <strike val="0"/>
        <outline val="0"/>
        <shadow val="0"/>
        <u val="none"/>
        <vertAlign val="baseline"/>
        <sz val="14"/>
        <name val="Tahoma"/>
        <family val="2"/>
        <scheme val="none"/>
      </font>
      <border outline="0">
        <left style="thin">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numFmt numFmtId="164" formatCode="_-* #,##0.00_-;\-* #,##0.00_-;_-* &quot;-&quot;??_-;_-@_-"/>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border diagonalUp="0" diagonalDown="0" outline="0">
        <left style="thin">
          <color indexed="64"/>
        </left>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4"/>
        <color indexed="8"/>
        <name val="Tahoma"/>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fill>
        <patternFill patternType="solid">
          <fgColor indexed="64"/>
          <bgColor rgb="FFF9FFDD"/>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fill>
        <patternFill patternType="solid">
          <fgColor indexed="64"/>
          <bgColor rgb="FFF9FFDD"/>
        </patternFill>
      </fill>
      <border diagonalUp="0" diagonalDown="0" outline="0">
        <left style="thin">
          <color indexed="64"/>
        </left>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readingOrder="0"/>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font>
        <strike val="0"/>
        <outline val="0"/>
        <shadow val="0"/>
        <u val="none"/>
        <vertAlign val="baseline"/>
        <sz val="14"/>
        <color theme="1"/>
        <name val="Tahoma"/>
        <family val="2"/>
        <scheme val="none"/>
      </font>
      <border outline="0">
        <left style="thin">
          <color indexed="64"/>
        </left>
        <right style="medium">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right style="thin">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9"/>
        <name val="Tahom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strike val="0"/>
        <outline val="0"/>
        <shadow val="0"/>
        <u val="none"/>
        <vertAlign val="baseline"/>
        <sz val="14"/>
        <color theme="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00FF"/>
      <color rgb="FFCCECFF"/>
      <color rgb="FFA4C7FA"/>
      <color rgb="FFFDE9F4"/>
      <color rgb="FFFCDCEE"/>
      <color rgb="FFDACCFC"/>
      <color rgb="FFF9FFDD"/>
      <color rgb="FF000099"/>
      <color rgb="FFC0A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1358900</xdr:colOff>
      <xdr:row>57</xdr:row>
      <xdr:rowOff>140758</xdr:rowOff>
    </xdr:from>
    <xdr:to>
      <xdr:col>4</xdr:col>
      <xdr:colOff>428625</xdr:colOff>
      <xdr:row>58</xdr:row>
      <xdr:rowOff>15027</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263900" y="13256683"/>
          <a:ext cx="2946400" cy="45719"/>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a:t>
          </a:r>
          <a:r>
            <a:rPr lang="th-TH" sz="1600" b="1" baseline="0">
              <a:effectLst/>
              <a:latin typeface="Angsana New" panose="02020603050405020304" pitchFamily="18" charset="-34"/>
              <a:ea typeface="Times New Roman" panose="02020603050405020304" pitchFamily="18" charset="0"/>
              <a:cs typeface="Angsana New" panose="02020603050405020304" pitchFamily="18" charset="-34"/>
            </a:rPr>
            <a:t> อ้อยหวาน</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Assistant Sales Manager</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1064386</xdr:colOff>
      <xdr:row>58</xdr:row>
      <xdr:rowOff>107</xdr:rowOff>
    </xdr:from>
    <xdr:to>
      <xdr:col>9</xdr:col>
      <xdr:colOff>693618</xdr:colOff>
      <xdr:row>58</xdr:row>
      <xdr:rowOff>107</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7931911" y="13287482"/>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คุณวัลวิภา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editAs="oneCell">
    <xdr:from>
      <xdr:col>8</xdr:col>
      <xdr:colOff>857074</xdr:colOff>
      <xdr:row>109</xdr:row>
      <xdr:rowOff>35859</xdr:rowOff>
    </xdr:from>
    <xdr:to>
      <xdr:col>268</xdr:col>
      <xdr:colOff>125013</xdr:colOff>
      <xdr:row>125</xdr:row>
      <xdr:rowOff>59767</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498180" y="21389788"/>
          <a:ext cx="5870845" cy="2904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1073149</xdr:colOff>
      <xdr:row>52</xdr:row>
      <xdr:rowOff>150283</xdr:rowOff>
    </xdr:from>
    <xdr:to>
      <xdr:col>4</xdr:col>
      <xdr:colOff>247649</xdr:colOff>
      <xdr:row>53</xdr:row>
      <xdr:rowOff>38099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2978149" y="13380508"/>
          <a:ext cx="2974975" cy="68791"/>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 อ้อยหวาน)</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  </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939165</xdr:colOff>
      <xdr:row>53</xdr:row>
      <xdr:rowOff>5715</xdr:rowOff>
    </xdr:from>
    <xdr:to>
      <xdr:col>9</xdr:col>
      <xdr:colOff>790805</xdr:colOff>
      <xdr:row>53</xdr:row>
      <xdr:rowOff>5715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7749540" y="13416915"/>
          <a:ext cx="3985490"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N66" totalsRowShown="0" headerRowDxfId="109" dataDxfId="108" totalsRowDxfId="106" tableBorderDxfId="107" totalsRowBorderDxfId="105">
  <autoFilter ref="A6:AN66" xr:uid="{3C878C68-A372-446C-8256-BD036B6D96E7}"/>
  <tableColumns count="40">
    <tableColumn id="1" xr3:uid="{7A68EB0F-4EB7-4EA0-B847-CDCEDE1995D9}" name="ลำดับ" dataDxfId="104" totalsRowDxfId="103"/>
    <tableColumn id="40" xr3:uid="{10A87547-4790-421C-878A-40568A4342A0}" name="เดือนที่ปิดการขาย" totalsRowDxfId="102"/>
    <tableColumn id="7" xr3:uid="{8F6F8C50-9D55-461F-83AF-B2E29A90BB45}" name="รหัสลูกค้า" dataDxfId="101" totalsRowDxfId="100" dataCellStyle="Total"/>
    <tableColumn id="2" xr3:uid="{E91B7877-DC71-4CB9-BA7F-36CA618C37EA}" name="ชื่อเจ้าของโครงการ" dataDxfId="99" totalsRowDxfId="98"/>
    <tableColumn id="10" xr3:uid="{19271DD2-0A59-4759-AE5D-1AB63890B014}" name="Sales" dataDxfId="97" dataCellStyle="Total"/>
    <tableColumn id="5" xr3:uid="{A5848258-9033-4D9F-8296-8ECDB5D9D258}" name="บริการประเภท" dataDxfId="96" totalsRowDxfId="95" dataCellStyle="Total"/>
    <tableColumn id="24" xr3:uid="{4787A654-053B-4970-BE8C-94B3928D6967}" name="ระยะเวลาสัญญา_x000a_(เดือน)" dataDxfId="94" totalsRowDxfId="93"/>
    <tableColumn id="23" xr3:uid="{71B0D79B-1882-4676-A4CD-587CCE651620}" name="% ค่าคอมค่าบริการ_x000a_(อัตราก้าวหน้า)" dataDxfId="92"/>
    <tableColumn id="20" xr3:uid="{48B19DD3-4849-4286-91E3-FE1F20647640}" name="เดือนที่เริ่มเก็บ_x000a_ค่าบริการ" dataDxfId="91" totalsRowDxfId="90"/>
    <tableColumn id="19" xr3:uid="{4D64D369-8CC0-48C9-8408-2623DCFB69A3}" name="ค่าบริการเฉลี่ยต่อเดือน" dataDxfId="0"/>
    <tableColumn id="41" xr3:uid="{17E28F86-0280-460E-A057-B19365EC434E}" name="ต้นทุนช่องรายการ_x000a_(ถ้ามี)" totalsRowDxfId="89"/>
    <tableColumn id="18" xr3:uid="{7B85F650-D5D4-407F-894D-50A267647FC2}" name="หัก ณ ที่จ่าย_x000a_(ค่าบริการ)" dataDxfId="88" totalsRowDxfId="87"/>
    <tableColumn id="27" xr3:uid="{8F50D093-5CBA-4540-8D5B-69F0ABCFDE07}" name="มูลค่าหัก 3%" dataDxfId="86" totalsRowDxfId="85"/>
    <tableColumn id="25" xr3:uid="{448C2BE4-700B-472E-8A90-659E7D16D1C0}" name="ค่าบริการเฉลียรายเดือนตาม Package_x000a_(เรียกเก็บสุทธิ)" dataDxfId="84" totalsRowDxfId="83" dataCellStyle="Comma"/>
    <tableColumn id="28" xr3:uid="{49720FE6-4F55-473F-8AC8-5EFA4FCF11EF}" name="Total_x000a_รายการเบิก_x000a_คอมขาย_x000a_(1)" dataDxfId="82" totalsRowDxfId="81"/>
    <tableColumn id="9" xr3:uid="{E8C32789-49FE-47D8-9CC6-E6DC2865932C}" name="แบ่งจ่าย/งวด_x000a_(ตามปีสัญญา)" dataDxfId="80" totalsRowDxfId="79" dataCellStyle="Comma"/>
    <tableColumn id="36" xr3:uid="{1BD716E4-B9C4-4CAC-97E3-608F6BA2E34B}" name="ปีที่1"/>
    <tableColumn id="39" xr3:uid="{86B4988D-D2E9-4E82-87A1-9E8EB4FBD369}" name="ปีที่2" dataCellStyle="Comma"/>
    <tableColumn id="38" xr3:uid="{6FC74DCC-7D98-49E1-9DBE-381609B4257F}" name="ปีที่3" totalsRowDxfId="78" dataCellStyle="Comma"/>
    <tableColumn id="37" xr3:uid="{A23F8696-5FCA-4591-B4A1-883EF138DC52}" name="ปีที่4" totalsRowDxfId="77" dataCellStyle="Comma"/>
    <tableColumn id="21" xr3:uid="{C2838910-2F21-4DDC-8C73-E29A1127C374}" name="ปีที่5" totalsRowDxfId="76" dataCellStyle="Comma"/>
    <tableColumn id="22" xr3:uid="{EE653E92-1BD1-40DB-9031-773B3881CD5E}" name="ค่าเชื่อมสัญญาณ/_x000a_ค่าติดตั้ง/_x000a_ค่าขายอุปกรณ์" dataDxfId="75" totalsRowDxfId="74" dataCellStyle="Comma"/>
    <tableColumn id="31" xr3:uid="{81D93D84-9951-4BCA-8794-1A846E256361}" name="หัก ณ ที่จ่าย_x000a_(ค่าติตั้ง)" totalsRowDxfId="73"/>
    <tableColumn id="30" xr3:uid="{7C8640FD-82A9-4D16-A296-5D144ECD0C1F}" name="มูลค่าหัก 3%_x000a_(ค่าติดตั้ง)" totalsRowDxfId="72"/>
    <tableColumn id="32" xr3:uid="{30DB91D5-408A-49E0-98F5-877236EC415F}" name="ค่าเชื่อมสัญญาณ/_x000a_ค่าติดตั้ง/_x000a_ค่าขายอุปกรณ์_x000a_(เรียกเก็บสุทธิ)"/>
    <tableColumn id="8" xr3:uid="{3A93194E-260A-40B9-9FBF-008409553371}" name="ต้นทุน" dataDxfId="71"/>
    <tableColumn id="15" xr3:uid="{EF0497B7-59F3-4306-A5C1-08BEA2CF0E85}" name="ส่วนต่างกำไร" dataDxfId="70" dataCellStyle="Comma"/>
    <tableColumn id="6" xr3:uid="{43A73351-F329-4C6C-8D46-8406F3275AF6}" name="คอมฯ_x000a_ 5%" dataDxfId="69" totalsRowDxfId="68" dataCellStyle="Comma"/>
    <tableColumn id="26" xr3:uid="{758CBD6F-DD47-4531-8868-34976B0F62D4}" name="คอมฯ_x000a_10%" dataDxfId="67" totalsRowDxfId="66" dataCellStyle="Comma"/>
    <tableColumn id="16" xr3:uid="{78ACD765-640C-4D43-AC13-54384C4A941E}" name="Total_x000a_ค่าเชื่มสัญญาณ/ค่าติดตั้ง/_x000a_ค่าขายอุปกรณ์_x000a_(2)" dataDxfId="65" totalsRowDxfId="64" dataCellStyle="Comma"/>
    <tableColumn id="11" xr3:uid="{8011303A-D1A5-446B-B527-C3286D436110}" name="ค่าเชื่อมสัญญาณ" dataDxfId="63" totalsRowDxfId="62" dataCellStyle="Comma"/>
    <tableColumn id="35" xr3:uid="{FB852967-4C58-463A-91B0-E98097B6FA71}" name="หัก ณ ที่จ่าย_x000a_(ค่าเชื่อมสัญญาณ)" totalsRowDxfId="61"/>
    <tableColumn id="34" xr3:uid="{55AA47FC-A38B-4C13-9051-F3DF95C24ED9}" name="มูลค่าหัก 3%_x000a_(ค่าเชื่อมสัญญาณ)" totalsRowDxfId="60"/>
    <tableColumn id="33" xr3:uid="{2E84EB8F-6C92-4D66-AC15-493FC20C46C3}" name="ค่าเชื่อมสัญญาณ_x000a_(เรียกเก็บสุทธิ)" totalsRowDxfId="59"/>
    <tableColumn id="14" xr3:uid="{714892B4-1AAA-47F9-97C0-DB9B6A097513}" name="Total _x000a_คอมฯค่าเชื่อมสัญญาณ_x000a_(3)" dataDxfId="58" totalsRowDxfId="57" dataCellStyle="Comma"/>
    <tableColumn id="13" xr3:uid="{01E93865-3399-4061-A66D-18E027C46EBE}" name="รวมค่าคอมฯ" dataDxfId="56" totalsRowDxfId="55" dataCellStyle="Comma"/>
    <tableColumn id="3" xr3:uid="{E3C14B63-3A8F-4A86-98D8-22F73FF5717A}" name="เลขที่ใบกำกับ/ใบเสร็จรับเงิน" dataDxfId="54" totalsRowDxfId="53"/>
    <tableColumn id="29" xr3:uid="{19195CF2-9F31-4094-B7B0-522E55CE71CA}" name="เลขที่นำส่งเงิน_x000a_" dataDxfId="52" totalsRowDxfId="51"/>
    <tableColumn id="4" xr3:uid="{55D2584C-42D9-4C3B-B911-8FF4B7984098}" name="เขตการขาย" dataDxfId="50" totalsRowDxfId="49"/>
    <tableColumn id="12" xr3:uid="{23D9706D-4622-457E-9E38-B7755D1A566A}" name="หมายเหตุ" dataDxfId="48" totalsRowDxfId="47"/>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30" totalsRowCount="1" headerRowDxfId="46" dataDxfId="45" totalsRowDxfId="43" tableBorderDxfId="44">
  <tableColumns count="21">
    <tableColumn id="1" xr3:uid="{DF3FD6E6-D745-41F2-ADF9-CD13EAF9355A}" name="ลำดับ" dataDxfId="42" totalsRowDxfId="41"/>
    <tableColumn id="12" xr3:uid="{F4B5205B-6640-4698-B033-46648AA463E3}" name="รหัสลูกค้า" dataDxfId="40" totalsRowDxfId="39" dataCellStyle="Total"/>
    <tableColumn id="2" xr3:uid="{EFD4A409-0B37-48A4-A6D1-0EDAEA08B630}" name="ชื่อเจ้าของโครงการ" totalsRowLabel="Total" dataDxfId="38" totalsRowDxfId="37"/>
    <tableColumn id="10" xr3:uid="{0F59EE97-1C15-48E2-A068-6300779DD479}" name="Sales" dataDxfId="36" totalsRowDxfId="35"/>
    <tableColumn id="5" xr3:uid="{C7CF4C1E-6C22-4A12-BC86-223316804350}" name="บริการประเภท" dataDxfId="34" totalsRowDxfId="33" dataCellStyle="Total"/>
    <tableColumn id="25" xr3:uid="{8F2297A0-32B0-43D2-B9BD-8EC1009B1977}" name="ค่าบริการรายเดือนตาม Package" totalsRowFunction="sum" dataDxfId="32" totalsRowDxfId="31" dataCellStyle="Comma"/>
    <tableColumn id="21" xr3:uid="{75C8E32E-3F65-4F42-ACED-BFC8B27ADC32}" name="เดือนที่เริ่มเก็บ_x000a_ค่าบริการ" dataDxfId="30" totalsRowDxfId="29" dataCellStyle="Comma"/>
    <tableColumn id="8" xr3:uid="{87582A4B-C6E1-459B-9800-05571557ACEC}" name="รายการเบิก_x000a_คอมขายเพิ่มเติม_x000a_(เป้าตามกำหนด)_x000a_100-200%" totalsRowFunction="sum" dataDxfId="28" totalsRowDxfId="27" dataCellStyle="Comma"/>
    <tableColumn id="9" xr3:uid="{80B11174-88F7-481E-8588-DCC205A7F65B}" name="รายการเบิก_x000a_คอมขาย" totalsRowFunction="sum" dataDxfId="26" totalsRowDxfId="25" dataCellStyle="Comma"/>
    <tableColumn id="22" xr3:uid="{7E1E6494-3D75-42D9-9462-3378DBD97459}" name="ค่าขายอุปกรณ์" totalsRowFunction="sum" dataDxfId="24" totalsRowDxfId="23" dataCellStyle="Comma"/>
    <tableColumn id="4" xr3:uid="{6F575235-48BB-483E-BFE9-88158E351789}" name="ต้นทุนค่าขายอุปกรณ์" totalsRowFunction="sum" dataDxfId="22" totalsRowDxfId="21"/>
    <tableColumn id="6" xr3:uid="{7DF313D9-AB2D-4BE0-82F9-C19A4E538983}" name="คอมฯอุปกรณ์_x000a_ 5%" totalsRowFunction="sum" dataDxfId="20" totalsRowDxfId="19"/>
    <tableColumn id="26" xr3:uid="{B2B3E80A-ECD8-4B32-8E0F-D6A42BE9B960}" name="คอมฯ อุปกรณ์_x000a_25%" totalsRowFunction="sum" dataDxfId="18" totalsRowDxfId="17" dataCellStyle="Comma"/>
    <tableColumn id="13" xr3:uid="{580055DC-2FBC-4D00-BA82-8376F27591FF}" name="Total_x000a_คอมฯ อุปกรณ์" dataDxfId="16" totalsRowDxfId="15" dataCellStyle="Comma"/>
    <tableColumn id="15" xr3:uid="{52CA07EB-D357-46DC-8FE4-B6971D41F453}" name="ค่าติดตั้ง/ค่าเชื่อมสัญญาณ" dataDxfId="14" totalsRowDxfId="13" dataCellStyle="Comma"/>
    <tableColumn id="17" xr3:uid="{4EC6B6AD-0201-4110-8789-0A3FD486D800}" name="ต้นทุนค่าติดตั้ง/ค่าเชื่อมสัญญาณ" dataDxfId="12" totalsRowDxfId="11" dataCellStyle="Comma"/>
    <tableColumn id="16" xr3:uid="{95E16324-276E-48DC-8203-FB2D58BA6719}" name="Total _x000a_คอมฯค่าติดตั้ง/ค่าเชื่อมสัญญาณ" totalsRowFunction="sum" dataDxfId="10" totalsRowDxfId="9" dataCellStyle="Comma"/>
    <tableColumn id="3" xr3:uid="{02A9AB69-FFEB-4867-B132-52FAADBD4D7A}" name="รวมค่าคอมฯ" totalsRowFunction="sum" dataDxfId="8" totalsRowDxfId="7"/>
    <tableColumn id="11" xr3:uid="{323E8EBB-672E-49FF-886B-83397B13954F}" name="เลขที่ใบกำกับ/ใบเสร็จรับเงิน" totalsRowFunction="sum" dataDxfId="6" totalsRowDxfId="5"/>
    <tableColumn id="7" xr3:uid="{BCF445C2-E016-4A4B-AED8-A6BAA3F6BE25}" name="เลขที่นำส่งเงิน_x000a_" totalsRowFunction="sum" dataDxfId="4" totalsRowDxfId="3"/>
    <tableColumn id="14" xr3:uid="{0FC5A296-C82E-487E-BCC6-7040C9EE9F00}" name="เขตการขาย" dataDxfId="2" totalsRowDxfId="1"/>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G18"/>
  <sheetViews>
    <sheetView workbookViewId="0">
      <selection activeCell="C15" sqref="C15"/>
    </sheetView>
  </sheetViews>
  <sheetFormatPr defaultRowHeight="13.2"/>
  <cols>
    <col min="1" max="1" width="8.88671875" style="337"/>
    <col min="2" max="2" width="26.44140625" bestFit="1" customWidth="1"/>
    <col min="3" max="3" width="29.21875" bestFit="1" customWidth="1"/>
    <col min="6" max="6" width="10.88671875" customWidth="1"/>
  </cols>
  <sheetData>
    <row r="1" spans="1:7" ht="26.4">
      <c r="B1" s="342" t="s">
        <v>55</v>
      </c>
      <c r="C1" s="386" t="s">
        <v>48</v>
      </c>
      <c r="D1" s="401" t="s">
        <v>185</v>
      </c>
      <c r="F1" s="400" t="s">
        <v>182</v>
      </c>
      <c r="G1" s="400" t="s">
        <v>198</v>
      </c>
    </row>
    <row r="2" spans="1:7" ht="13.8">
      <c r="A2" s="337" t="s">
        <v>153</v>
      </c>
      <c r="B2" s="338" t="s">
        <v>70</v>
      </c>
      <c r="C2" s="387" t="s">
        <v>45</v>
      </c>
      <c r="D2" s="339" t="s">
        <v>186</v>
      </c>
      <c r="F2" s="398">
        <v>45566</v>
      </c>
      <c r="G2" s="399">
        <v>6.6000000000000003E-2</v>
      </c>
    </row>
    <row r="3" spans="1:7" ht="13.8">
      <c r="A3" s="337" t="s">
        <v>153</v>
      </c>
      <c r="B3" s="338" t="s">
        <v>71</v>
      </c>
      <c r="C3" s="387" t="s">
        <v>46</v>
      </c>
      <c r="D3" s="338" t="s">
        <v>187</v>
      </c>
      <c r="F3" s="398">
        <v>45597</v>
      </c>
      <c r="G3" s="340"/>
    </row>
    <row r="4" spans="1:7" ht="13.8">
      <c r="A4" s="337" t="s">
        <v>153</v>
      </c>
      <c r="B4" s="338" t="s">
        <v>73</v>
      </c>
      <c r="C4" s="387" t="s">
        <v>204</v>
      </c>
      <c r="F4" s="398">
        <v>45627</v>
      </c>
      <c r="G4" s="340"/>
    </row>
    <row r="5" spans="1:7" ht="13.8">
      <c r="A5" s="337" t="s">
        <v>17</v>
      </c>
      <c r="B5" s="338" t="s">
        <v>74</v>
      </c>
      <c r="C5" s="387" t="s">
        <v>205</v>
      </c>
      <c r="F5" s="398">
        <v>45658</v>
      </c>
      <c r="G5" s="340"/>
    </row>
    <row r="6" spans="1:7" ht="13.8">
      <c r="A6" s="337" t="s">
        <v>17</v>
      </c>
      <c r="B6" s="338" t="s">
        <v>75</v>
      </c>
      <c r="C6" s="339" t="s">
        <v>154</v>
      </c>
      <c r="F6" s="398">
        <v>45689</v>
      </c>
      <c r="G6" s="340"/>
    </row>
    <row r="7" spans="1:7" ht="13.8">
      <c r="A7" s="337" t="s">
        <v>17</v>
      </c>
      <c r="B7" s="338" t="s">
        <v>152</v>
      </c>
      <c r="C7" s="339" t="s">
        <v>155</v>
      </c>
      <c r="F7" s="398">
        <v>45717</v>
      </c>
      <c r="G7" s="340"/>
    </row>
    <row r="8" spans="1:7" ht="13.8">
      <c r="A8" s="337" t="s">
        <v>17</v>
      </c>
      <c r="B8" s="338" t="s">
        <v>130</v>
      </c>
      <c r="C8" s="339" t="s">
        <v>59</v>
      </c>
      <c r="F8" s="398">
        <v>45748</v>
      </c>
      <c r="G8" s="340"/>
    </row>
    <row r="9" spans="1:7" ht="13.8">
      <c r="A9" s="337" t="s">
        <v>17</v>
      </c>
      <c r="B9" s="338" t="s">
        <v>151</v>
      </c>
      <c r="C9" s="339" t="s">
        <v>54</v>
      </c>
      <c r="F9" s="398">
        <v>45778</v>
      </c>
      <c r="G9" s="340"/>
    </row>
    <row r="10" spans="1:7" ht="13.8">
      <c r="A10" s="337" t="s">
        <v>78</v>
      </c>
      <c r="B10" s="338" t="s">
        <v>72</v>
      </c>
      <c r="C10" s="339" t="s">
        <v>49</v>
      </c>
      <c r="F10" s="398">
        <v>45809</v>
      </c>
      <c r="G10" s="340"/>
    </row>
    <row r="11" spans="1:7" ht="13.8">
      <c r="A11" s="337" t="s">
        <v>78</v>
      </c>
      <c r="B11" s="340" t="s">
        <v>68</v>
      </c>
      <c r="C11" s="339" t="s">
        <v>50</v>
      </c>
      <c r="F11" s="398">
        <v>45839</v>
      </c>
      <c r="G11" s="340"/>
    </row>
    <row r="12" spans="1:7" ht="13.8">
      <c r="A12" s="337" t="s">
        <v>78</v>
      </c>
      <c r="B12" s="338" t="s">
        <v>67</v>
      </c>
      <c r="C12" s="339" t="s">
        <v>51</v>
      </c>
    </row>
    <row r="13" spans="1:7" ht="13.8">
      <c r="A13" s="337" t="s">
        <v>78</v>
      </c>
      <c r="B13" s="338" t="s">
        <v>69</v>
      </c>
      <c r="C13" s="339" t="s">
        <v>52</v>
      </c>
    </row>
    <row r="14" spans="1:7" ht="13.8">
      <c r="A14" s="337" t="s">
        <v>78</v>
      </c>
      <c r="B14" s="338" t="s">
        <v>90</v>
      </c>
      <c r="C14" s="339" t="s">
        <v>47</v>
      </c>
    </row>
    <row r="15" spans="1:7" ht="13.8">
      <c r="B15" s="340" t="s">
        <v>21</v>
      </c>
      <c r="C15" s="339" t="s">
        <v>53</v>
      </c>
    </row>
    <row r="16" spans="1:7" ht="13.8">
      <c r="B16" s="340" t="s">
        <v>56</v>
      </c>
      <c r="C16" s="339" t="s">
        <v>96</v>
      </c>
    </row>
    <row r="17" spans="2:3" ht="13.8">
      <c r="B17" s="340" t="s">
        <v>18</v>
      </c>
      <c r="C17" s="113"/>
    </row>
    <row r="18" spans="2:3">
      <c r="B18" s="3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AN72"/>
  <sheetViews>
    <sheetView tabSelected="1" zoomScale="55" zoomScaleNormal="55" workbookViewId="0">
      <pane xSplit="6" ySplit="6" topLeftCell="O7" activePane="bottomRight" state="frozen"/>
      <selection pane="topRight" activeCell="G1" sqref="G1"/>
      <selection pane="bottomLeft" activeCell="A7" sqref="A7"/>
      <selection pane="bottomRight" activeCell="AD7" activeCellId="1" sqref="Q7 AD7"/>
    </sheetView>
  </sheetViews>
  <sheetFormatPr defaultColWidth="0" defaultRowHeight="0" customHeight="1" zeroHeight="1"/>
  <cols>
    <col min="1" max="1" width="8.109375" style="505" customWidth="1"/>
    <col min="2" max="2" width="13.21875" style="569" customWidth="1"/>
    <col min="3" max="3" width="19.33203125" style="505" bestFit="1" customWidth="1"/>
    <col min="4" max="4" width="46.77734375" style="634" customWidth="1"/>
    <col min="5" max="5" width="21" style="633" customWidth="1"/>
    <col min="6" max="6" width="16.6640625" style="569" customWidth="1"/>
    <col min="7" max="7" width="9.33203125" style="570" customWidth="1"/>
    <col min="8" max="8" width="17" style="666" customWidth="1"/>
    <col min="9" max="9" width="14.77734375" style="520" customWidth="1"/>
    <col min="10" max="10" width="14.6640625" style="571" customWidth="1"/>
    <col min="11" max="11" width="7.77734375" style="571" customWidth="1"/>
    <col min="12" max="12" width="9.109375" style="572" customWidth="1"/>
    <col min="13" max="13" width="18.33203125" style="572" bestFit="1" customWidth="1"/>
    <col min="14" max="14" width="19.5546875" style="571" customWidth="1"/>
    <col min="15" max="15" width="21.5546875" style="573" customWidth="1"/>
    <col min="16" max="16" width="10.77734375" style="574" customWidth="1"/>
    <col min="17" max="17" width="27.5546875" style="574" customWidth="1"/>
    <col min="18" max="18" width="21.33203125" style="755" customWidth="1"/>
    <col min="19" max="19" width="9.21875" style="755" customWidth="1"/>
    <col min="20" max="20" width="9.44140625" style="755" customWidth="1"/>
    <col min="21" max="21" width="9.21875" style="755" customWidth="1"/>
    <col min="22" max="22" width="24.77734375" style="156" customWidth="1"/>
    <col min="23" max="23" width="12.88671875" style="412" customWidth="1"/>
    <col min="24" max="24" width="12.44140625" style="412" customWidth="1"/>
    <col min="25" max="25" width="19.109375" style="156" customWidth="1"/>
    <col min="26" max="26" width="15.109375" style="156" bestFit="1" customWidth="1"/>
    <col min="27" max="27" width="20.6640625" style="412" bestFit="1" customWidth="1"/>
    <col min="28" max="28" width="13.33203125" style="575" customWidth="1"/>
    <col min="29" max="29" width="13.5546875" style="575" customWidth="1"/>
    <col min="30" max="30" width="22.21875" style="573" customWidth="1"/>
    <col min="31" max="31" width="24" style="332" bestFit="1" customWidth="1"/>
    <col min="32" max="32" width="11.6640625" style="415" customWidth="1"/>
    <col min="33" max="33" width="10.109375" style="415" customWidth="1"/>
    <col min="34" max="34" width="12.109375" style="157" customWidth="1"/>
    <col min="35" max="35" width="14.88671875" style="332" customWidth="1"/>
    <col min="36" max="36" width="20.109375" style="519" customWidth="1"/>
    <col min="37" max="37" width="24" style="575" customWidth="1"/>
    <col min="38" max="38" width="22" style="575" customWidth="1"/>
    <col min="39" max="39" width="11.33203125" style="521" customWidth="1"/>
    <col min="40" max="40" width="32.33203125" style="579" customWidth="1"/>
    <col min="41" max="42" width="15.33203125" style="505" customWidth="1"/>
    <col min="43" max="43" width="17" style="505" customWidth="1"/>
    <col min="44" max="44" width="0" style="505" hidden="1"/>
    <col min="45" max="46" width="15.5546875" style="505" customWidth="1"/>
    <col min="47" max="47" width="13.6640625" style="505" customWidth="1"/>
    <col min="48" max="48" width="9" style="505" customWidth="1"/>
    <col min="49" max="49" width="49.88671875" style="505" customWidth="1"/>
    <col min="50" max="50" width="0" style="505" hidden="1"/>
    <col min="51" max="52" width="15.88671875" style="505" customWidth="1"/>
    <col min="53" max="53" width="14.5546875" style="505" customWidth="1"/>
    <col min="54" max="54" width="16.33203125" style="505" customWidth="1"/>
    <col min="55" max="55" width="18.109375" style="505" customWidth="1"/>
    <col min="56" max="56" width="14.109375" style="505" customWidth="1"/>
    <col min="57" max="283" width="0" style="505" hidden="1"/>
    <col min="284" max="284" width="7.5546875" style="505" customWidth="1"/>
    <col min="285" max="285" width="36.77734375" style="505" customWidth="1"/>
    <col min="286" max="287" width="0" style="505" hidden="1"/>
    <col min="288" max="288" width="16.6640625" style="505" customWidth="1"/>
    <col min="289" max="289" width="17.33203125" style="505" customWidth="1"/>
    <col min="290" max="290" width="15.5546875" style="505" customWidth="1"/>
    <col min="291" max="291" width="0" style="505" hidden="1"/>
    <col min="292" max="292" width="16.6640625" style="505" customWidth="1"/>
    <col min="293" max="293" width="17.44140625" style="505" customWidth="1"/>
    <col min="294" max="295" width="0" style="505" hidden="1"/>
    <col min="296" max="298" width="15.33203125" style="505" customWidth="1"/>
    <col min="299" max="299" width="17" style="505" customWidth="1"/>
    <col min="300" max="300" width="0" style="505" hidden="1"/>
    <col min="301" max="302" width="15.5546875" style="505" customWidth="1"/>
    <col min="303" max="303" width="13.6640625" style="505" customWidth="1"/>
    <col min="304" max="304" width="9" style="505" customWidth="1"/>
    <col min="305" max="305" width="49.88671875" style="505" customWidth="1"/>
    <col min="306" max="306" width="0" style="505" hidden="1"/>
    <col min="307" max="308" width="15.88671875" style="505" customWidth="1"/>
    <col min="309" max="309" width="14.5546875" style="505" customWidth="1"/>
    <col min="310" max="310" width="16.33203125" style="505" customWidth="1"/>
    <col min="311" max="311" width="18.109375" style="505" customWidth="1"/>
    <col min="312" max="312" width="14.109375" style="505" customWidth="1"/>
    <col min="313" max="539" width="0" style="505" hidden="1"/>
    <col min="540" max="540" width="7.5546875" style="505" customWidth="1"/>
    <col min="541" max="541" width="36.77734375" style="505" customWidth="1"/>
    <col min="542" max="543" width="0" style="505" hidden="1"/>
    <col min="544" max="544" width="16.6640625" style="505" customWidth="1"/>
    <col min="545" max="545" width="17.33203125" style="505" customWidth="1"/>
    <col min="546" max="546" width="15.5546875" style="505" customWidth="1"/>
    <col min="547" max="547" width="0" style="505" hidden="1"/>
    <col min="548" max="548" width="16.6640625" style="505" customWidth="1"/>
    <col min="549" max="549" width="17.44140625" style="505" customWidth="1"/>
    <col min="550" max="551" width="0" style="505" hidden="1"/>
    <col min="552" max="554" width="15.33203125" style="505" customWidth="1"/>
    <col min="555" max="555" width="17" style="505" customWidth="1"/>
    <col min="556" max="556" width="0" style="505" hidden="1"/>
    <col min="557" max="558" width="15.5546875" style="505" customWidth="1"/>
    <col min="559" max="559" width="13.6640625" style="505" customWidth="1"/>
    <col min="560" max="560" width="9" style="505" customWidth="1"/>
    <col min="561" max="561" width="49.88671875" style="505" customWidth="1"/>
    <col min="562" max="562" width="0" style="505" hidden="1"/>
    <col min="563" max="564" width="15.88671875" style="505" customWidth="1"/>
    <col min="565" max="565" width="14.5546875" style="505" customWidth="1"/>
    <col min="566" max="566" width="16.33203125" style="505" customWidth="1"/>
    <col min="567" max="567" width="18.109375" style="505" customWidth="1"/>
    <col min="568" max="568" width="14.109375" style="505" customWidth="1"/>
    <col min="569" max="795" width="0" style="505" hidden="1"/>
    <col min="796" max="796" width="7.5546875" style="505" customWidth="1"/>
    <col min="797" max="797" width="36.77734375" style="505" customWidth="1"/>
    <col min="798" max="799" width="0" style="505" hidden="1"/>
    <col min="800" max="800" width="16.6640625" style="505" customWidth="1"/>
    <col min="801" max="801" width="17.33203125" style="505" customWidth="1"/>
    <col min="802" max="802" width="15.5546875" style="505" customWidth="1"/>
    <col min="803" max="803" width="0" style="505" hidden="1"/>
    <col min="804" max="804" width="16.6640625" style="505" customWidth="1"/>
    <col min="805" max="805" width="17.44140625" style="505" customWidth="1"/>
    <col min="806" max="807" width="0" style="505" hidden="1"/>
    <col min="808" max="810" width="15.33203125" style="505" customWidth="1"/>
    <col min="811" max="811" width="17" style="505" customWidth="1"/>
    <col min="812" max="812" width="0" style="505" hidden="1"/>
    <col min="813" max="814" width="15.5546875" style="505" customWidth="1"/>
    <col min="815" max="815" width="13.6640625" style="505" customWidth="1"/>
    <col min="816" max="816" width="9" style="505" customWidth="1"/>
    <col min="817" max="817" width="49.88671875" style="505" customWidth="1"/>
    <col min="818" max="818" width="0" style="505" hidden="1"/>
    <col min="819" max="820" width="15.88671875" style="505" customWidth="1"/>
    <col min="821" max="821" width="14.5546875" style="505" customWidth="1"/>
    <col min="822" max="822" width="16.33203125" style="505" customWidth="1"/>
    <col min="823" max="823" width="18.109375" style="505" customWidth="1"/>
    <col min="824" max="824" width="14.109375" style="505" customWidth="1"/>
    <col min="825" max="1051" width="0" style="505" hidden="1"/>
    <col min="1052" max="1052" width="7.5546875" style="505" customWidth="1"/>
    <col min="1053" max="1053" width="36.77734375" style="505" customWidth="1"/>
    <col min="1054" max="1055" width="0" style="505" hidden="1"/>
    <col min="1056" max="1056" width="16.6640625" style="505" customWidth="1"/>
    <col min="1057" max="1057" width="17.33203125" style="505" customWidth="1"/>
    <col min="1058" max="1058" width="15.5546875" style="505" customWidth="1"/>
    <col min="1059" max="1059" width="0" style="505" hidden="1"/>
    <col min="1060" max="1060" width="16.6640625" style="505" customWidth="1"/>
    <col min="1061" max="1061" width="17.44140625" style="505" customWidth="1"/>
    <col min="1062" max="1063" width="0" style="505" hidden="1"/>
    <col min="1064" max="1066" width="15.33203125" style="505" customWidth="1"/>
    <col min="1067" max="1067" width="17" style="505" customWidth="1"/>
    <col min="1068" max="1068" width="0" style="505" hidden="1"/>
    <col min="1069" max="1070" width="15.5546875" style="505" customWidth="1"/>
    <col min="1071" max="1071" width="13.6640625" style="505" customWidth="1"/>
    <col min="1072" max="1072" width="9" style="505" customWidth="1"/>
    <col min="1073" max="1073" width="49.88671875" style="505" customWidth="1"/>
    <col min="1074" max="1074" width="0" style="505" hidden="1"/>
    <col min="1075" max="1076" width="15.88671875" style="505" customWidth="1"/>
    <col min="1077" max="1077" width="14.5546875" style="505" customWidth="1"/>
    <col min="1078" max="1078" width="16.33203125" style="505" customWidth="1"/>
    <col min="1079" max="1079" width="18.109375" style="505" customWidth="1"/>
    <col min="1080" max="1080" width="14.109375" style="505" customWidth="1"/>
    <col min="1081" max="1307" width="0" style="505" hidden="1"/>
    <col min="1308" max="1308" width="7.5546875" style="505" customWidth="1"/>
    <col min="1309" max="1309" width="36.77734375" style="505" customWidth="1"/>
    <col min="1310" max="1311" width="0" style="505" hidden="1"/>
    <col min="1312" max="1312" width="16.6640625" style="505" customWidth="1"/>
    <col min="1313" max="1313" width="17.33203125" style="505" customWidth="1"/>
    <col min="1314" max="1314" width="15.5546875" style="505" customWidth="1"/>
    <col min="1315" max="1315" width="0" style="505" hidden="1"/>
    <col min="1316" max="1316" width="16.6640625" style="505" customWidth="1"/>
    <col min="1317" max="1317" width="17.44140625" style="505" customWidth="1"/>
    <col min="1318" max="1319" width="0" style="505" hidden="1"/>
    <col min="1320" max="1322" width="15.33203125" style="505" customWidth="1"/>
    <col min="1323" max="1323" width="17" style="505" customWidth="1"/>
    <col min="1324" max="1324" width="0" style="505" hidden="1"/>
    <col min="1325" max="1326" width="15.5546875" style="505" customWidth="1"/>
    <col min="1327" max="1327" width="13.6640625" style="505" customWidth="1"/>
    <col min="1328" max="1328" width="9" style="505" customWidth="1"/>
    <col min="1329" max="1329" width="49.88671875" style="505" customWidth="1"/>
    <col min="1330" max="1330" width="0" style="505" hidden="1"/>
    <col min="1331" max="1332" width="15.88671875" style="505" customWidth="1"/>
    <col min="1333" max="1333" width="14.5546875" style="505" customWidth="1"/>
    <col min="1334" max="1334" width="16.33203125" style="505" customWidth="1"/>
    <col min="1335" max="1335" width="18.109375" style="505" customWidth="1"/>
    <col min="1336" max="1336" width="14.109375" style="505" customWidth="1"/>
    <col min="1337" max="1563" width="0" style="505" hidden="1"/>
    <col min="1564" max="1564" width="7.5546875" style="505" customWidth="1"/>
    <col min="1565" max="1565" width="36.77734375" style="505" customWidth="1"/>
    <col min="1566" max="1567" width="0" style="505" hidden="1"/>
    <col min="1568" max="1568" width="16.6640625" style="505" customWidth="1"/>
    <col min="1569" max="1569" width="17.33203125" style="505" customWidth="1"/>
    <col min="1570" max="1570" width="15.5546875" style="505" customWidth="1"/>
    <col min="1571" max="1571" width="0" style="505" hidden="1"/>
    <col min="1572" max="1572" width="16.6640625" style="505" customWidth="1"/>
    <col min="1573" max="1573" width="17.44140625" style="505" customWidth="1"/>
    <col min="1574" max="1575" width="0" style="505" hidden="1"/>
    <col min="1576" max="1578" width="15.33203125" style="505" customWidth="1"/>
    <col min="1579" max="1579" width="17" style="505" customWidth="1"/>
    <col min="1580" max="1580" width="0" style="505" hidden="1"/>
    <col min="1581" max="1582" width="15.5546875" style="505" customWidth="1"/>
    <col min="1583" max="1583" width="13.6640625" style="505" customWidth="1"/>
    <col min="1584" max="1584" width="9" style="505" customWidth="1"/>
    <col min="1585" max="1585" width="49.88671875" style="505" customWidth="1"/>
    <col min="1586" max="1586" width="0" style="505" hidden="1"/>
    <col min="1587" max="1588" width="15.88671875" style="505" customWidth="1"/>
    <col min="1589" max="1589" width="14.5546875" style="505" customWidth="1"/>
    <col min="1590" max="1590" width="16.33203125" style="505" customWidth="1"/>
    <col min="1591" max="1591" width="18.109375" style="505" customWidth="1"/>
    <col min="1592" max="1592" width="14.109375" style="505" customWidth="1"/>
    <col min="1593" max="1819" width="0" style="505" hidden="1"/>
    <col min="1820" max="1820" width="7.5546875" style="505" customWidth="1"/>
    <col min="1821" max="1821" width="36.77734375" style="505" customWidth="1"/>
    <col min="1822" max="1823" width="0" style="505" hidden="1"/>
    <col min="1824" max="1824" width="16.6640625" style="505" customWidth="1"/>
    <col min="1825" max="1825" width="17.33203125" style="505" customWidth="1"/>
    <col min="1826" max="1826" width="15.5546875" style="505" customWidth="1"/>
    <col min="1827" max="1827" width="0" style="505" hidden="1"/>
    <col min="1828" max="1828" width="16.6640625" style="505" customWidth="1"/>
    <col min="1829" max="1829" width="17.44140625" style="505" customWidth="1"/>
    <col min="1830" max="1831" width="0" style="505" hidden="1"/>
    <col min="1832" max="1834" width="15.33203125" style="505" customWidth="1"/>
    <col min="1835" max="1835" width="17" style="505" customWidth="1"/>
    <col min="1836" max="1836" width="0" style="505" hidden="1"/>
    <col min="1837" max="1838" width="15.5546875" style="505" customWidth="1"/>
    <col min="1839" max="1839" width="13.6640625" style="505" customWidth="1"/>
    <col min="1840" max="1840" width="9" style="505" customWidth="1"/>
    <col min="1841" max="1841" width="49.88671875" style="505" customWidth="1"/>
    <col min="1842" max="1842" width="0" style="505" hidden="1"/>
    <col min="1843" max="1844" width="15.88671875" style="505" customWidth="1"/>
    <col min="1845" max="1845" width="14.5546875" style="505" customWidth="1"/>
    <col min="1846" max="1846" width="16.33203125" style="505" customWidth="1"/>
    <col min="1847" max="1847" width="18.109375" style="505" customWidth="1"/>
    <col min="1848" max="1848" width="14.109375" style="505" customWidth="1"/>
    <col min="1849" max="2075" width="0" style="505" hidden="1"/>
    <col min="2076" max="2076" width="7.5546875" style="505" customWidth="1"/>
    <col min="2077" max="2077" width="36.77734375" style="505" customWidth="1"/>
    <col min="2078" max="2079" width="0" style="505" hidden="1"/>
    <col min="2080" max="2080" width="16.6640625" style="505" customWidth="1"/>
    <col min="2081" max="2081" width="17.33203125" style="505" customWidth="1"/>
    <col min="2082" max="2082" width="15.5546875" style="505" customWidth="1"/>
    <col min="2083" max="2083" width="0" style="505" hidden="1"/>
    <col min="2084" max="2084" width="16.6640625" style="505" customWidth="1"/>
    <col min="2085" max="2085" width="17.44140625" style="505" customWidth="1"/>
    <col min="2086" max="2087" width="0" style="505" hidden="1"/>
    <col min="2088" max="2090" width="15.33203125" style="505" customWidth="1"/>
    <col min="2091" max="2091" width="17" style="505" customWidth="1"/>
    <col min="2092" max="2092" width="0" style="505" hidden="1"/>
    <col min="2093" max="2094" width="15.5546875" style="505" customWidth="1"/>
    <col min="2095" max="2095" width="13.6640625" style="505" customWidth="1"/>
    <col min="2096" max="2096" width="9" style="505" customWidth="1"/>
    <col min="2097" max="2097" width="49.88671875" style="505" customWidth="1"/>
    <col min="2098" max="2098" width="0" style="505" hidden="1"/>
    <col min="2099" max="2100" width="15.88671875" style="505" customWidth="1"/>
    <col min="2101" max="2101" width="14.5546875" style="505" customWidth="1"/>
    <col min="2102" max="2102" width="16.33203125" style="505" customWidth="1"/>
    <col min="2103" max="2103" width="18.109375" style="505" customWidth="1"/>
    <col min="2104" max="2104" width="14.109375" style="505" customWidth="1"/>
    <col min="2105" max="2331" width="0" style="505" hidden="1"/>
    <col min="2332" max="2332" width="7.5546875" style="505" customWidth="1"/>
    <col min="2333" max="2333" width="36.77734375" style="505" customWidth="1"/>
    <col min="2334" max="2335" width="0" style="505" hidden="1"/>
    <col min="2336" max="2336" width="16.6640625" style="505" customWidth="1"/>
    <col min="2337" max="2337" width="17.33203125" style="505" customWidth="1"/>
    <col min="2338" max="2338" width="15.5546875" style="505" customWidth="1"/>
    <col min="2339" max="2339" width="0" style="505" hidden="1"/>
    <col min="2340" max="2340" width="16.6640625" style="505" customWidth="1"/>
    <col min="2341" max="2341" width="17.44140625" style="505" customWidth="1"/>
    <col min="2342" max="2343" width="0" style="505" hidden="1"/>
    <col min="2344" max="2346" width="15.33203125" style="505" customWidth="1"/>
    <col min="2347" max="2347" width="17" style="505" customWidth="1"/>
    <col min="2348" max="2348" width="0" style="505" hidden="1"/>
    <col min="2349" max="2350" width="15.5546875" style="505" customWidth="1"/>
    <col min="2351" max="2351" width="13.6640625" style="505" customWidth="1"/>
    <col min="2352" max="2352" width="9" style="505" customWidth="1"/>
    <col min="2353" max="2353" width="49.88671875" style="505" customWidth="1"/>
    <col min="2354" max="2354" width="0" style="505" hidden="1"/>
    <col min="2355" max="2356" width="15.88671875" style="505" customWidth="1"/>
    <col min="2357" max="2357" width="14.5546875" style="505" customWidth="1"/>
    <col min="2358" max="2358" width="16.33203125" style="505" customWidth="1"/>
    <col min="2359" max="2359" width="18.109375" style="505" customWidth="1"/>
    <col min="2360" max="2360" width="14.109375" style="505" customWidth="1"/>
    <col min="2361" max="2587" width="0" style="505" hidden="1"/>
    <col min="2588" max="2588" width="7.5546875" style="505" customWidth="1"/>
    <col min="2589" max="2589" width="36.77734375" style="505" customWidth="1"/>
    <col min="2590" max="2591" width="0" style="505" hidden="1"/>
    <col min="2592" max="2592" width="16.6640625" style="505" customWidth="1"/>
    <col min="2593" max="2593" width="17.33203125" style="505" customWidth="1"/>
    <col min="2594" max="2594" width="15.5546875" style="505" customWidth="1"/>
    <col min="2595" max="2595" width="0" style="505" hidden="1"/>
    <col min="2596" max="2596" width="16.6640625" style="505" customWidth="1"/>
    <col min="2597" max="2597" width="17.44140625" style="505" customWidth="1"/>
    <col min="2598" max="2599" width="0" style="505" hidden="1"/>
    <col min="2600" max="2602" width="15.33203125" style="505" customWidth="1"/>
    <col min="2603" max="2603" width="17" style="505" customWidth="1"/>
    <col min="2604" max="2604" width="0" style="505" hidden="1"/>
    <col min="2605" max="2606" width="15.5546875" style="505" customWidth="1"/>
    <col min="2607" max="2607" width="13.6640625" style="505" customWidth="1"/>
    <col min="2608" max="2608" width="9" style="505" customWidth="1"/>
    <col min="2609" max="2609" width="49.88671875" style="505" customWidth="1"/>
    <col min="2610" max="2610" width="0" style="505" hidden="1"/>
    <col min="2611" max="2612" width="15.88671875" style="505" customWidth="1"/>
    <col min="2613" max="2613" width="14.5546875" style="505" customWidth="1"/>
    <col min="2614" max="2614" width="16.33203125" style="505" customWidth="1"/>
    <col min="2615" max="2615" width="18.109375" style="505" customWidth="1"/>
    <col min="2616" max="2616" width="14.109375" style="505" customWidth="1"/>
    <col min="2617" max="2843" width="0" style="505" hidden="1"/>
    <col min="2844" max="2844" width="7.5546875" style="505" customWidth="1"/>
    <col min="2845" max="2845" width="36.77734375" style="505" customWidth="1"/>
    <col min="2846" max="2847" width="0" style="505" hidden="1"/>
    <col min="2848" max="2848" width="16.6640625" style="505" customWidth="1"/>
    <col min="2849" max="2849" width="17.33203125" style="505" customWidth="1"/>
    <col min="2850" max="2850" width="15.5546875" style="505" customWidth="1"/>
    <col min="2851" max="2851" width="0" style="505" hidden="1"/>
    <col min="2852" max="2852" width="16.6640625" style="505" customWidth="1"/>
    <col min="2853" max="2853" width="17.44140625" style="505" customWidth="1"/>
    <col min="2854" max="2855" width="0" style="505" hidden="1"/>
    <col min="2856" max="2858" width="15.33203125" style="505" customWidth="1"/>
    <col min="2859" max="2859" width="17" style="505" customWidth="1"/>
    <col min="2860" max="2860" width="0" style="505" hidden="1"/>
    <col min="2861" max="2862" width="15.5546875" style="505" customWidth="1"/>
    <col min="2863" max="2863" width="13.6640625" style="505" customWidth="1"/>
    <col min="2864" max="2864" width="9" style="505" customWidth="1"/>
    <col min="2865" max="2865" width="49.88671875" style="505" customWidth="1"/>
    <col min="2866" max="2866" width="0" style="505" hidden="1"/>
    <col min="2867" max="2868" width="15.88671875" style="505" customWidth="1"/>
    <col min="2869" max="2869" width="14.5546875" style="505" customWidth="1"/>
    <col min="2870" max="2870" width="16.33203125" style="505" customWidth="1"/>
    <col min="2871" max="2871" width="18.109375" style="505" customWidth="1"/>
    <col min="2872" max="2872" width="14.109375" style="505" customWidth="1"/>
    <col min="2873" max="3099" width="0" style="505" hidden="1"/>
    <col min="3100" max="3100" width="7.5546875" style="505" customWidth="1"/>
    <col min="3101" max="3101" width="36.77734375" style="505" customWidth="1"/>
    <col min="3102" max="3103" width="0" style="505" hidden="1"/>
    <col min="3104" max="3104" width="16.6640625" style="505" customWidth="1"/>
    <col min="3105" max="3105" width="17.33203125" style="505" customWidth="1"/>
    <col min="3106" max="3106" width="15.5546875" style="505" customWidth="1"/>
    <col min="3107" max="3107" width="0" style="505" hidden="1"/>
    <col min="3108" max="3108" width="16.6640625" style="505" customWidth="1"/>
    <col min="3109" max="3109" width="17.44140625" style="505" customWidth="1"/>
    <col min="3110" max="3111" width="0" style="505" hidden="1"/>
    <col min="3112" max="3114" width="15.33203125" style="505" customWidth="1"/>
    <col min="3115" max="3115" width="17" style="505" customWidth="1"/>
    <col min="3116" max="3116" width="0" style="505" hidden="1"/>
    <col min="3117" max="3118" width="15.5546875" style="505" customWidth="1"/>
    <col min="3119" max="3119" width="13.6640625" style="505" customWidth="1"/>
    <col min="3120" max="3120" width="9" style="505" customWidth="1"/>
    <col min="3121" max="3121" width="49.88671875" style="505" customWidth="1"/>
    <col min="3122" max="3122" width="0" style="505" hidden="1"/>
    <col min="3123" max="3124" width="15.88671875" style="505" customWidth="1"/>
    <col min="3125" max="3125" width="14.5546875" style="505" customWidth="1"/>
    <col min="3126" max="3126" width="16.33203125" style="505" customWidth="1"/>
    <col min="3127" max="3127" width="18.109375" style="505" customWidth="1"/>
    <col min="3128" max="3128" width="14.109375" style="505" customWidth="1"/>
    <col min="3129" max="3355" width="0" style="505" hidden="1"/>
    <col min="3356" max="3356" width="7.5546875" style="505" customWidth="1"/>
    <col min="3357" max="3357" width="36.77734375" style="505" customWidth="1"/>
    <col min="3358" max="3359" width="0" style="505" hidden="1"/>
    <col min="3360" max="3360" width="16.6640625" style="505" customWidth="1"/>
    <col min="3361" max="3361" width="17.33203125" style="505" customWidth="1"/>
    <col min="3362" max="3362" width="15.5546875" style="505" customWidth="1"/>
    <col min="3363" max="3363" width="0" style="505" hidden="1"/>
    <col min="3364" max="3364" width="16.6640625" style="505" customWidth="1"/>
    <col min="3365" max="3365" width="17.44140625" style="505" customWidth="1"/>
    <col min="3366" max="3367" width="0" style="505" hidden="1"/>
    <col min="3368" max="3370" width="15.33203125" style="505" customWidth="1"/>
    <col min="3371" max="3371" width="17" style="505" customWidth="1"/>
    <col min="3372" max="3372" width="0" style="505" hidden="1"/>
    <col min="3373" max="3374" width="15.5546875" style="505" customWidth="1"/>
    <col min="3375" max="3375" width="13.6640625" style="505" customWidth="1"/>
    <col min="3376" max="3376" width="9" style="505" customWidth="1"/>
    <col min="3377" max="3377" width="49.88671875" style="505" customWidth="1"/>
    <col min="3378" max="3378" width="0" style="505" hidden="1"/>
    <col min="3379" max="3380" width="15.88671875" style="505" customWidth="1"/>
    <col min="3381" max="3381" width="14.5546875" style="505" customWidth="1"/>
    <col min="3382" max="3382" width="16.33203125" style="505" customWidth="1"/>
    <col min="3383" max="3383" width="18.109375" style="505" customWidth="1"/>
    <col min="3384" max="3384" width="14.109375" style="505" customWidth="1"/>
    <col min="3385" max="3611" width="0" style="505" hidden="1"/>
    <col min="3612" max="3612" width="7.5546875" style="505" customWidth="1"/>
    <col min="3613" max="3613" width="36.77734375" style="505" customWidth="1"/>
    <col min="3614" max="3615" width="0" style="505" hidden="1"/>
    <col min="3616" max="3616" width="16.6640625" style="505" customWidth="1"/>
    <col min="3617" max="3617" width="17.33203125" style="505" customWidth="1"/>
    <col min="3618" max="3618" width="15.5546875" style="505" customWidth="1"/>
    <col min="3619" max="3619" width="0" style="505" hidden="1"/>
    <col min="3620" max="3620" width="16.6640625" style="505" customWidth="1"/>
    <col min="3621" max="3621" width="17.44140625" style="505" customWidth="1"/>
    <col min="3622" max="3623" width="0" style="505" hidden="1"/>
    <col min="3624" max="3626" width="15.33203125" style="505" customWidth="1"/>
    <col min="3627" max="3627" width="17" style="505" customWidth="1"/>
    <col min="3628" max="3628" width="0" style="505" hidden="1"/>
    <col min="3629" max="3630" width="15.5546875" style="505" customWidth="1"/>
    <col min="3631" max="3631" width="13.6640625" style="505" customWidth="1"/>
    <col min="3632" max="3632" width="9" style="505" customWidth="1"/>
    <col min="3633" max="3633" width="49.88671875" style="505" customWidth="1"/>
    <col min="3634" max="3634" width="0" style="505" hidden="1"/>
    <col min="3635" max="3636" width="15.88671875" style="505" customWidth="1"/>
    <col min="3637" max="3637" width="14.5546875" style="505" customWidth="1"/>
    <col min="3638" max="3638" width="16.33203125" style="505" customWidth="1"/>
    <col min="3639" max="3639" width="18.109375" style="505" customWidth="1"/>
    <col min="3640" max="3640" width="14.109375" style="505" customWidth="1"/>
    <col min="3641" max="3867" width="0" style="505" hidden="1"/>
    <col min="3868" max="3868" width="7.5546875" style="505" customWidth="1"/>
    <col min="3869" max="3869" width="36.77734375" style="505" customWidth="1"/>
    <col min="3870" max="3871" width="0" style="505" hidden="1"/>
    <col min="3872" max="3872" width="16.6640625" style="505" customWidth="1"/>
    <col min="3873" max="3873" width="17.33203125" style="505" customWidth="1"/>
    <col min="3874" max="3874" width="15.5546875" style="505" customWidth="1"/>
    <col min="3875" max="3875" width="0" style="505" hidden="1"/>
    <col min="3876" max="3876" width="16.6640625" style="505" customWidth="1"/>
    <col min="3877" max="3877" width="17.44140625" style="505" customWidth="1"/>
    <col min="3878" max="3879" width="0" style="505" hidden="1"/>
    <col min="3880" max="3882" width="15.33203125" style="505" customWidth="1"/>
    <col min="3883" max="3883" width="17" style="505" customWidth="1"/>
    <col min="3884" max="3884" width="0" style="505" hidden="1"/>
    <col min="3885" max="3886" width="15.5546875" style="505" customWidth="1"/>
    <col min="3887" max="3887" width="13.6640625" style="505" customWidth="1"/>
    <col min="3888" max="3888" width="9" style="505" customWidth="1"/>
    <col min="3889" max="3889" width="49.88671875" style="505" customWidth="1"/>
    <col min="3890" max="3890" width="0" style="505" hidden="1"/>
    <col min="3891" max="3892" width="15.88671875" style="505" customWidth="1"/>
    <col min="3893" max="3893" width="14.5546875" style="505" customWidth="1"/>
    <col min="3894" max="3894" width="16.33203125" style="505" customWidth="1"/>
    <col min="3895" max="3895" width="18.109375" style="505" customWidth="1"/>
    <col min="3896" max="3896" width="14.109375" style="505" customWidth="1"/>
    <col min="3897" max="4123" width="0" style="505" hidden="1"/>
    <col min="4124" max="4124" width="7.5546875" style="505" customWidth="1"/>
    <col min="4125" max="4125" width="36.77734375" style="505" customWidth="1"/>
    <col min="4126" max="4127" width="0" style="505" hidden="1"/>
    <col min="4128" max="4128" width="16.6640625" style="505" customWidth="1"/>
    <col min="4129" max="4129" width="17.33203125" style="505" customWidth="1"/>
    <col min="4130" max="4130" width="15.5546875" style="505" customWidth="1"/>
    <col min="4131" max="4131" width="0" style="505" hidden="1"/>
    <col min="4132" max="4132" width="16.6640625" style="505" customWidth="1"/>
    <col min="4133" max="4133" width="17.44140625" style="505" customWidth="1"/>
    <col min="4134" max="4135" width="0" style="505" hidden="1"/>
    <col min="4136" max="4138" width="15.33203125" style="505" customWidth="1"/>
    <col min="4139" max="4139" width="17" style="505" customWidth="1"/>
    <col min="4140" max="4140" width="0" style="505" hidden="1"/>
    <col min="4141" max="4142" width="15.5546875" style="505" customWidth="1"/>
    <col min="4143" max="4143" width="13.6640625" style="505" customWidth="1"/>
    <col min="4144" max="4144" width="9" style="505" customWidth="1"/>
    <col min="4145" max="4145" width="49.88671875" style="505" customWidth="1"/>
    <col min="4146" max="4146" width="0" style="505" hidden="1"/>
    <col min="4147" max="4148" width="15.88671875" style="505" customWidth="1"/>
    <col min="4149" max="4149" width="14.5546875" style="505" customWidth="1"/>
    <col min="4150" max="4150" width="16.33203125" style="505" customWidth="1"/>
    <col min="4151" max="4151" width="18.109375" style="505" customWidth="1"/>
    <col min="4152" max="4152" width="14.109375" style="505" customWidth="1"/>
    <col min="4153" max="4379" width="0" style="505" hidden="1"/>
    <col min="4380" max="4380" width="7.5546875" style="505" customWidth="1"/>
    <col min="4381" max="4381" width="36.77734375" style="505" customWidth="1"/>
    <col min="4382" max="4383" width="0" style="505" hidden="1"/>
    <col min="4384" max="4384" width="16.6640625" style="505" customWidth="1"/>
    <col min="4385" max="4385" width="17.33203125" style="505" customWidth="1"/>
    <col min="4386" max="4386" width="15.5546875" style="505" customWidth="1"/>
    <col min="4387" max="4387" width="0" style="505" hidden="1"/>
    <col min="4388" max="4388" width="16.6640625" style="505" customWidth="1"/>
    <col min="4389" max="4389" width="17.44140625" style="505" customWidth="1"/>
    <col min="4390" max="4391" width="0" style="505" hidden="1"/>
    <col min="4392" max="4394" width="15.33203125" style="505" customWidth="1"/>
    <col min="4395" max="4395" width="17" style="505" customWidth="1"/>
    <col min="4396" max="4396" width="0" style="505" hidden="1"/>
    <col min="4397" max="4398" width="15.5546875" style="505" customWidth="1"/>
    <col min="4399" max="4399" width="13.6640625" style="505" customWidth="1"/>
    <col min="4400" max="4400" width="9" style="505" customWidth="1"/>
    <col min="4401" max="4401" width="49.88671875" style="505" customWidth="1"/>
    <col min="4402" max="4402" width="0" style="505" hidden="1"/>
    <col min="4403" max="4404" width="15.88671875" style="505" customWidth="1"/>
    <col min="4405" max="4405" width="14.5546875" style="505" customWidth="1"/>
    <col min="4406" max="4406" width="16.33203125" style="505" customWidth="1"/>
    <col min="4407" max="4407" width="18.109375" style="505" customWidth="1"/>
    <col min="4408" max="4408" width="14.109375" style="505" customWidth="1"/>
    <col min="4409" max="4635" width="0" style="505" hidden="1"/>
    <col min="4636" max="4636" width="7.5546875" style="505" customWidth="1"/>
    <col min="4637" max="4637" width="36.77734375" style="505" customWidth="1"/>
    <col min="4638" max="4639" width="0" style="505" hidden="1"/>
    <col min="4640" max="4640" width="16.6640625" style="505" customWidth="1"/>
    <col min="4641" max="4641" width="17.33203125" style="505" customWidth="1"/>
    <col min="4642" max="4642" width="15.5546875" style="505" customWidth="1"/>
    <col min="4643" max="4643" width="0" style="505" hidden="1"/>
    <col min="4644" max="4644" width="16.6640625" style="505" customWidth="1"/>
    <col min="4645" max="4645" width="17.44140625" style="505" customWidth="1"/>
    <col min="4646" max="4647" width="0" style="505" hidden="1"/>
    <col min="4648" max="4650" width="15.33203125" style="505" customWidth="1"/>
    <col min="4651" max="4651" width="17" style="505" customWidth="1"/>
    <col min="4652" max="4652" width="0" style="505" hidden="1"/>
    <col min="4653" max="4654" width="15.5546875" style="505" customWidth="1"/>
    <col min="4655" max="4655" width="13.6640625" style="505" customWidth="1"/>
    <col min="4656" max="4656" width="9" style="505" customWidth="1"/>
    <col min="4657" max="4657" width="49.88671875" style="505" customWidth="1"/>
    <col min="4658" max="4658" width="0" style="505" hidden="1"/>
    <col min="4659" max="4660" width="15.88671875" style="505" customWidth="1"/>
    <col min="4661" max="4661" width="14.5546875" style="505" customWidth="1"/>
    <col min="4662" max="4662" width="16.33203125" style="505" customWidth="1"/>
    <col min="4663" max="4663" width="18.109375" style="505" customWidth="1"/>
    <col min="4664" max="4664" width="14.109375" style="505" customWidth="1"/>
    <col min="4665" max="4891" width="0" style="505" hidden="1"/>
    <col min="4892" max="4892" width="7.5546875" style="505" customWidth="1"/>
    <col min="4893" max="4893" width="36.77734375" style="505" customWidth="1"/>
    <col min="4894" max="4895" width="0" style="505" hidden="1"/>
    <col min="4896" max="4896" width="16.6640625" style="505" customWidth="1"/>
    <col min="4897" max="4897" width="17.33203125" style="505" customWidth="1"/>
    <col min="4898" max="4898" width="15.5546875" style="505" customWidth="1"/>
    <col min="4899" max="4899" width="0" style="505" hidden="1"/>
    <col min="4900" max="4900" width="16.6640625" style="505" customWidth="1"/>
    <col min="4901" max="4901" width="17.44140625" style="505" customWidth="1"/>
    <col min="4902" max="4903" width="0" style="505" hidden="1"/>
    <col min="4904" max="4906" width="15.33203125" style="505" customWidth="1"/>
    <col min="4907" max="4907" width="17" style="505" customWidth="1"/>
    <col min="4908" max="4908" width="0" style="505" hidden="1"/>
    <col min="4909" max="4910" width="15.5546875" style="505" customWidth="1"/>
    <col min="4911" max="4911" width="13.6640625" style="505" customWidth="1"/>
    <col min="4912" max="4912" width="9" style="505" customWidth="1"/>
    <col min="4913" max="4913" width="49.88671875" style="505" customWidth="1"/>
    <col min="4914" max="4914" width="0" style="505" hidden="1"/>
    <col min="4915" max="4916" width="15.88671875" style="505" customWidth="1"/>
    <col min="4917" max="4917" width="14.5546875" style="505" customWidth="1"/>
    <col min="4918" max="4918" width="16.33203125" style="505" customWidth="1"/>
    <col min="4919" max="4919" width="18.109375" style="505" customWidth="1"/>
    <col min="4920" max="4920" width="14.109375" style="505" customWidth="1"/>
    <col min="4921" max="5147" width="0" style="505" hidden="1"/>
    <col min="5148" max="5148" width="7.5546875" style="505" customWidth="1"/>
    <col min="5149" max="5149" width="36.77734375" style="505" customWidth="1"/>
    <col min="5150" max="5151" width="0" style="505" hidden="1"/>
    <col min="5152" max="5152" width="16.6640625" style="505" customWidth="1"/>
    <col min="5153" max="5153" width="17.33203125" style="505" customWidth="1"/>
    <col min="5154" max="5154" width="15.5546875" style="505" customWidth="1"/>
    <col min="5155" max="5155" width="0" style="505" hidden="1"/>
    <col min="5156" max="5156" width="16.6640625" style="505" customWidth="1"/>
    <col min="5157" max="5157" width="17.44140625" style="505" customWidth="1"/>
    <col min="5158" max="5159" width="0" style="505" hidden="1"/>
    <col min="5160" max="5162" width="15.33203125" style="505" customWidth="1"/>
    <col min="5163" max="5163" width="17" style="505" customWidth="1"/>
    <col min="5164" max="5164" width="0" style="505" hidden="1"/>
    <col min="5165" max="5166" width="15.5546875" style="505" customWidth="1"/>
    <col min="5167" max="5167" width="13.6640625" style="505" customWidth="1"/>
    <col min="5168" max="5168" width="9" style="505" customWidth="1"/>
    <col min="5169" max="5169" width="49.88671875" style="505" customWidth="1"/>
    <col min="5170" max="5170" width="0" style="505" hidden="1"/>
    <col min="5171" max="5172" width="15.88671875" style="505" customWidth="1"/>
    <col min="5173" max="5173" width="14.5546875" style="505" customWidth="1"/>
    <col min="5174" max="5174" width="16.33203125" style="505" customWidth="1"/>
    <col min="5175" max="5175" width="18.109375" style="505" customWidth="1"/>
    <col min="5176" max="5176" width="14.109375" style="505" customWidth="1"/>
    <col min="5177" max="5403" width="0" style="505" hidden="1"/>
    <col min="5404" max="5404" width="7.5546875" style="505" customWidth="1"/>
    <col min="5405" max="5405" width="36.77734375" style="505" customWidth="1"/>
    <col min="5406" max="5407" width="0" style="505" hidden="1"/>
    <col min="5408" max="5408" width="16.6640625" style="505" customWidth="1"/>
    <col min="5409" max="5409" width="17.33203125" style="505" customWidth="1"/>
    <col min="5410" max="5410" width="15.5546875" style="505" customWidth="1"/>
    <col min="5411" max="5411" width="0" style="505" hidden="1"/>
    <col min="5412" max="5412" width="16.6640625" style="505" customWidth="1"/>
    <col min="5413" max="5413" width="17.44140625" style="505" customWidth="1"/>
    <col min="5414" max="5415" width="0" style="505" hidden="1"/>
    <col min="5416" max="5418" width="15.33203125" style="505" customWidth="1"/>
    <col min="5419" max="5419" width="17" style="505" customWidth="1"/>
    <col min="5420" max="5420" width="0" style="505" hidden="1"/>
    <col min="5421" max="5422" width="15.5546875" style="505" customWidth="1"/>
    <col min="5423" max="5423" width="13.6640625" style="505" customWidth="1"/>
    <col min="5424" max="5424" width="9" style="505" customWidth="1"/>
    <col min="5425" max="5425" width="49.88671875" style="505" customWidth="1"/>
    <col min="5426" max="5426" width="0" style="505" hidden="1"/>
    <col min="5427" max="5428" width="15.88671875" style="505" customWidth="1"/>
    <col min="5429" max="5429" width="14.5546875" style="505" customWidth="1"/>
    <col min="5430" max="5430" width="16.33203125" style="505" customWidth="1"/>
    <col min="5431" max="5431" width="18.109375" style="505" customWidth="1"/>
    <col min="5432" max="5432" width="14.109375" style="505" customWidth="1"/>
    <col min="5433" max="5659" width="0" style="505" hidden="1"/>
    <col min="5660" max="5660" width="7.5546875" style="505" customWidth="1"/>
    <col min="5661" max="5661" width="36.77734375" style="505" customWidth="1"/>
    <col min="5662" max="5663" width="0" style="505" hidden="1"/>
    <col min="5664" max="5664" width="16.6640625" style="505" customWidth="1"/>
    <col min="5665" max="5665" width="17.33203125" style="505" customWidth="1"/>
    <col min="5666" max="5666" width="15.5546875" style="505" customWidth="1"/>
    <col min="5667" max="5667" width="0" style="505" hidden="1"/>
    <col min="5668" max="5668" width="16.6640625" style="505" customWidth="1"/>
    <col min="5669" max="5669" width="17.44140625" style="505" customWidth="1"/>
    <col min="5670" max="5671" width="0" style="505" hidden="1"/>
    <col min="5672" max="5674" width="15.33203125" style="505" customWidth="1"/>
    <col min="5675" max="5675" width="17" style="505" customWidth="1"/>
    <col min="5676" max="5676" width="0" style="505" hidden="1"/>
    <col min="5677" max="5678" width="15.5546875" style="505" customWidth="1"/>
    <col min="5679" max="5679" width="13.6640625" style="505" customWidth="1"/>
    <col min="5680" max="5680" width="9" style="505" customWidth="1"/>
    <col min="5681" max="5681" width="49.88671875" style="505" customWidth="1"/>
    <col min="5682" max="5682" width="0" style="505" hidden="1"/>
    <col min="5683" max="5684" width="15.88671875" style="505" customWidth="1"/>
    <col min="5685" max="5685" width="14.5546875" style="505" customWidth="1"/>
    <col min="5686" max="5686" width="16.33203125" style="505" customWidth="1"/>
    <col min="5687" max="5687" width="18.109375" style="505" customWidth="1"/>
    <col min="5688" max="5688" width="14.109375" style="505" customWidth="1"/>
    <col min="5689" max="5915" width="0" style="505" hidden="1"/>
    <col min="5916" max="5916" width="7.5546875" style="505" customWidth="1"/>
    <col min="5917" max="5917" width="36.77734375" style="505" customWidth="1"/>
    <col min="5918" max="5919" width="0" style="505" hidden="1"/>
    <col min="5920" max="5920" width="16.6640625" style="505" customWidth="1"/>
    <col min="5921" max="5921" width="17.33203125" style="505" customWidth="1"/>
    <col min="5922" max="5922" width="15.5546875" style="505" customWidth="1"/>
    <col min="5923" max="5923" width="0" style="505" hidden="1"/>
    <col min="5924" max="5924" width="16.6640625" style="505" customWidth="1"/>
    <col min="5925" max="5925" width="17.44140625" style="505" customWidth="1"/>
    <col min="5926" max="5927" width="0" style="505" hidden="1"/>
    <col min="5928" max="5930" width="15.33203125" style="505" customWidth="1"/>
    <col min="5931" max="5931" width="17" style="505" customWidth="1"/>
    <col min="5932" max="5932" width="0" style="505" hidden="1"/>
    <col min="5933" max="5934" width="15.5546875" style="505" customWidth="1"/>
    <col min="5935" max="5935" width="13.6640625" style="505" customWidth="1"/>
    <col min="5936" max="5936" width="9" style="505" customWidth="1"/>
    <col min="5937" max="5937" width="49.88671875" style="505" customWidth="1"/>
    <col min="5938" max="5938" width="0" style="505" hidden="1"/>
    <col min="5939" max="5940" width="15.88671875" style="505" customWidth="1"/>
    <col min="5941" max="5941" width="14.5546875" style="505" customWidth="1"/>
    <col min="5942" max="5942" width="16.33203125" style="505" customWidth="1"/>
    <col min="5943" max="5943" width="18.109375" style="505" customWidth="1"/>
    <col min="5944" max="5944" width="14.109375" style="505" customWidth="1"/>
    <col min="5945" max="6171" width="0" style="505" hidden="1"/>
    <col min="6172" max="6172" width="7.5546875" style="505" customWidth="1"/>
    <col min="6173" max="6173" width="36.77734375" style="505" customWidth="1"/>
    <col min="6174" max="6175" width="0" style="505" hidden="1"/>
    <col min="6176" max="6176" width="16.6640625" style="505" customWidth="1"/>
    <col min="6177" max="6177" width="17.33203125" style="505" customWidth="1"/>
    <col min="6178" max="6178" width="15.5546875" style="505" customWidth="1"/>
    <col min="6179" max="6179" width="0" style="505" hidden="1"/>
    <col min="6180" max="6180" width="16.6640625" style="505" customWidth="1"/>
    <col min="6181" max="6181" width="17.44140625" style="505" customWidth="1"/>
    <col min="6182" max="6183" width="0" style="505" hidden="1"/>
    <col min="6184" max="6186" width="15.33203125" style="505" customWidth="1"/>
    <col min="6187" max="6187" width="17" style="505" customWidth="1"/>
    <col min="6188" max="6188" width="0" style="505" hidden="1"/>
    <col min="6189" max="6190" width="15.5546875" style="505" customWidth="1"/>
    <col min="6191" max="6191" width="13.6640625" style="505" customWidth="1"/>
    <col min="6192" max="6192" width="9" style="505" customWidth="1"/>
    <col min="6193" max="6193" width="49.88671875" style="505" customWidth="1"/>
    <col min="6194" max="6194" width="0" style="505" hidden="1"/>
    <col min="6195" max="6196" width="15.88671875" style="505" customWidth="1"/>
    <col min="6197" max="6197" width="14.5546875" style="505" customWidth="1"/>
    <col min="6198" max="6198" width="16.33203125" style="505" customWidth="1"/>
    <col min="6199" max="6199" width="18.109375" style="505" customWidth="1"/>
    <col min="6200" max="6200" width="14.109375" style="505" customWidth="1"/>
    <col min="6201" max="6427" width="0" style="505" hidden="1"/>
    <col min="6428" max="6428" width="7.5546875" style="505" customWidth="1"/>
    <col min="6429" max="6429" width="36.77734375" style="505" customWidth="1"/>
    <col min="6430" max="6431" width="0" style="505" hidden="1"/>
    <col min="6432" max="6432" width="16.6640625" style="505" customWidth="1"/>
    <col min="6433" max="6433" width="17.33203125" style="505" customWidth="1"/>
    <col min="6434" max="6434" width="15.5546875" style="505" customWidth="1"/>
    <col min="6435" max="6435" width="0" style="505" hidden="1"/>
    <col min="6436" max="6436" width="16.6640625" style="505" customWidth="1"/>
    <col min="6437" max="6437" width="17.44140625" style="505" customWidth="1"/>
    <col min="6438" max="6439" width="0" style="505" hidden="1"/>
    <col min="6440" max="6442" width="15.33203125" style="505" customWidth="1"/>
    <col min="6443" max="6443" width="17" style="505" customWidth="1"/>
    <col min="6444" max="6444" width="0" style="505" hidden="1"/>
    <col min="6445" max="6446" width="15.5546875" style="505" customWidth="1"/>
    <col min="6447" max="6447" width="13.6640625" style="505" customWidth="1"/>
    <col min="6448" max="6448" width="9" style="505" customWidth="1"/>
    <col min="6449" max="6449" width="49.88671875" style="505" customWidth="1"/>
    <col min="6450" max="6450" width="0" style="505" hidden="1"/>
    <col min="6451" max="6452" width="15.88671875" style="505" customWidth="1"/>
    <col min="6453" max="6453" width="14.5546875" style="505" customWidth="1"/>
    <col min="6454" max="6454" width="16.33203125" style="505" customWidth="1"/>
    <col min="6455" max="6455" width="18.109375" style="505" customWidth="1"/>
    <col min="6456" max="6456" width="14.109375" style="505" customWidth="1"/>
    <col min="6457" max="6683" width="0" style="505" hidden="1"/>
    <col min="6684" max="6684" width="7.5546875" style="505" customWidth="1"/>
    <col min="6685" max="6685" width="36.77734375" style="505" customWidth="1"/>
    <col min="6686" max="6687" width="0" style="505" hidden="1"/>
    <col min="6688" max="6688" width="16.6640625" style="505" customWidth="1"/>
    <col min="6689" max="6689" width="17.33203125" style="505" customWidth="1"/>
    <col min="6690" max="6690" width="15.5546875" style="505" customWidth="1"/>
    <col min="6691" max="6691" width="0" style="505" hidden="1"/>
    <col min="6692" max="6692" width="16.6640625" style="505" customWidth="1"/>
    <col min="6693" max="6693" width="17.44140625" style="505" customWidth="1"/>
    <col min="6694" max="6695" width="0" style="505" hidden="1"/>
    <col min="6696" max="6698" width="15.33203125" style="505" customWidth="1"/>
    <col min="6699" max="6699" width="17" style="505" customWidth="1"/>
    <col min="6700" max="6700" width="0" style="505" hidden="1"/>
    <col min="6701" max="6702" width="15.5546875" style="505" customWidth="1"/>
    <col min="6703" max="6703" width="13.6640625" style="505" customWidth="1"/>
    <col min="6704" max="6704" width="9" style="505" customWidth="1"/>
    <col min="6705" max="6705" width="49.88671875" style="505" customWidth="1"/>
    <col min="6706" max="6706" width="0" style="505" hidden="1"/>
    <col min="6707" max="6708" width="15.88671875" style="505" customWidth="1"/>
    <col min="6709" max="6709" width="14.5546875" style="505" customWidth="1"/>
    <col min="6710" max="6710" width="16.33203125" style="505" customWidth="1"/>
    <col min="6711" max="6711" width="18.109375" style="505" customWidth="1"/>
    <col min="6712" max="6712" width="14.109375" style="505" customWidth="1"/>
    <col min="6713" max="6939" width="0" style="505" hidden="1"/>
    <col min="6940" max="6940" width="7.5546875" style="505" customWidth="1"/>
    <col min="6941" max="6941" width="36.77734375" style="505" customWidth="1"/>
    <col min="6942" max="6943" width="0" style="505" hidden="1"/>
    <col min="6944" max="6944" width="16.6640625" style="505" customWidth="1"/>
    <col min="6945" max="6945" width="17.33203125" style="505" customWidth="1"/>
    <col min="6946" max="6946" width="15.5546875" style="505" customWidth="1"/>
    <col min="6947" max="6947" width="0" style="505" hidden="1"/>
    <col min="6948" max="6948" width="16.6640625" style="505" customWidth="1"/>
    <col min="6949" max="6949" width="17.44140625" style="505" customWidth="1"/>
    <col min="6950" max="6951" width="0" style="505" hidden="1"/>
    <col min="6952" max="6954" width="15.33203125" style="505" customWidth="1"/>
    <col min="6955" max="6955" width="17" style="505" customWidth="1"/>
    <col min="6956" max="6956" width="0" style="505" hidden="1"/>
    <col min="6957" max="6958" width="15.5546875" style="505" customWidth="1"/>
    <col min="6959" max="6959" width="13.6640625" style="505" customWidth="1"/>
    <col min="6960" max="6960" width="9" style="505" customWidth="1"/>
    <col min="6961" max="6961" width="49.88671875" style="505" customWidth="1"/>
    <col min="6962" max="6962" width="0" style="505" hidden="1"/>
    <col min="6963" max="6964" width="15.88671875" style="505" customWidth="1"/>
    <col min="6965" max="6965" width="14.5546875" style="505" customWidth="1"/>
    <col min="6966" max="6966" width="16.33203125" style="505" customWidth="1"/>
    <col min="6967" max="6967" width="18.109375" style="505" customWidth="1"/>
    <col min="6968" max="6968" width="14.109375" style="505" customWidth="1"/>
    <col min="6969" max="7195" width="0" style="505" hidden="1"/>
    <col min="7196" max="7196" width="7.5546875" style="505" customWidth="1"/>
    <col min="7197" max="7197" width="36.77734375" style="505" customWidth="1"/>
    <col min="7198" max="7199" width="0" style="505" hidden="1"/>
    <col min="7200" max="7200" width="16.6640625" style="505" customWidth="1"/>
    <col min="7201" max="7201" width="17.33203125" style="505" customWidth="1"/>
    <col min="7202" max="7202" width="15.5546875" style="505" customWidth="1"/>
    <col min="7203" max="7203" width="0" style="505" hidden="1"/>
    <col min="7204" max="7204" width="16.6640625" style="505" customWidth="1"/>
    <col min="7205" max="7205" width="17.44140625" style="505" customWidth="1"/>
    <col min="7206" max="7207" width="0" style="505" hidden="1"/>
    <col min="7208" max="7210" width="15.33203125" style="505" customWidth="1"/>
    <col min="7211" max="7211" width="17" style="505" customWidth="1"/>
    <col min="7212" max="7212" width="0" style="505" hidden="1"/>
    <col min="7213" max="7214" width="15.5546875" style="505" customWidth="1"/>
    <col min="7215" max="7215" width="13.6640625" style="505" customWidth="1"/>
    <col min="7216" max="7216" width="9" style="505" customWidth="1"/>
    <col min="7217" max="7217" width="49.88671875" style="505" customWidth="1"/>
    <col min="7218" max="7218" width="0" style="505" hidden="1"/>
    <col min="7219" max="7220" width="15.88671875" style="505" customWidth="1"/>
    <col min="7221" max="7221" width="14.5546875" style="505" customWidth="1"/>
    <col min="7222" max="7222" width="16.33203125" style="505" customWidth="1"/>
    <col min="7223" max="7223" width="18.109375" style="505" customWidth="1"/>
    <col min="7224" max="7224" width="14.109375" style="505" customWidth="1"/>
    <col min="7225" max="7451" width="0" style="505" hidden="1"/>
    <col min="7452" max="7452" width="7.5546875" style="505" customWidth="1"/>
    <col min="7453" max="7453" width="36.77734375" style="505" customWidth="1"/>
    <col min="7454" max="7455" width="0" style="505" hidden="1"/>
    <col min="7456" max="7456" width="16.6640625" style="505" customWidth="1"/>
    <col min="7457" max="7457" width="17.33203125" style="505" customWidth="1"/>
    <col min="7458" max="7458" width="15.5546875" style="505" customWidth="1"/>
    <col min="7459" max="7459" width="0" style="505" hidden="1"/>
    <col min="7460" max="7460" width="16.6640625" style="505" customWidth="1"/>
    <col min="7461" max="7461" width="17.44140625" style="505" customWidth="1"/>
    <col min="7462" max="7463" width="0" style="505" hidden="1"/>
    <col min="7464" max="7466" width="15.33203125" style="505" customWidth="1"/>
    <col min="7467" max="7467" width="17" style="505" customWidth="1"/>
    <col min="7468" max="7468" width="0" style="505" hidden="1"/>
    <col min="7469" max="7470" width="15.5546875" style="505" customWidth="1"/>
    <col min="7471" max="7471" width="13.6640625" style="505" customWidth="1"/>
    <col min="7472" max="7472" width="9" style="505" customWidth="1"/>
    <col min="7473" max="7473" width="49.88671875" style="505" customWidth="1"/>
    <col min="7474" max="7474" width="0" style="505" hidden="1"/>
    <col min="7475" max="7476" width="15.88671875" style="505" customWidth="1"/>
    <col min="7477" max="7477" width="14.5546875" style="505" customWidth="1"/>
    <col min="7478" max="7478" width="16.33203125" style="505" customWidth="1"/>
    <col min="7479" max="7479" width="18.109375" style="505" customWidth="1"/>
    <col min="7480" max="7480" width="14.109375" style="505" customWidth="1"/>
    <col min="7481" max="7707" width="0" style="505" hidden="1"/>
    <col min="7708" max="7708" width="7.5546875" style="505" customWidth="1"/>
    <col min="7709" max="7709" width="36.77734375" style="505" customWidth="1"/>
    <col min="7710" max="7711" width="0" style="505" hidden="1"/>
    <col min="7712" max="7712" width="16.6640625" style="505" customWidth="1"/>
    <col min="7713" max="7713" width="17.33203125" style="505" customWidth="1"/>
    <col min="7714" max="7714" width="15.5546875" style="505" customWidth="1"/>
    <col min="7715" max="7715" width="0" style="505" hidden="1"/>
    <col min="7716" max="7716" width="16.6640625" style="505" customWidth="1"/>
    <col min="7717" max="7717" width="17.44140625" style="505" customWidth="1"/>
    <col min="7718" max="7719" width="0" style="505" hidden="1"/>
    <col min="7720" max="7722" width="15.33203125" style="505" customWidth="1"/>
    <col min="7723" max="7723" width="17" style="505" customWidth="1"/>
    <col min="7724" max="7724" width="0" style="505" hidden="1"/>
    <col min="7725" max="7726" width="15.5546875" style="505" customWidth="1"/>
    <col min="7727" max="7727" width="13.6640625" style="505" customWidth="1"/>
    <col min="7728" max="7728" width="9" style="505" customWidth="1"/>
    <col min="7729" max="7729" width="49.88671875" style="505" customWidth="1"/>
    <col min="7730" max="7730" width="0" style="505" hidden="1"/>
    <col min="7731" max="7732" width="15.88671875" style="505" customWidth="1"/>
    <col min="7733" max="7733" width="14.5546875" style="505" customWidth="1"/>
    <col min="7734" max="7734" width="16.33203125" style="505" customWidth="1"/>
    <col min="7735" max="7735" width="18.109375" style="505" customWidth="1"/>
    <col min="7736" max="7736" width="14.109375" style="505" customWidth="1"/>
    <col min="7737" max="7963" width="0" style="505" hidden="1"/>
    <col min="7964" max="7964" width="7.5546875" style="505" customWidth="1"/>
    <col min="7965" max="7965" width="36.77734375" style="505" customWidth="1"/>
    <col min="7966" max="7967" width="0" style="505" hidden="1"/>
    <col min="7968" max="7968" width="16.6640625" style="505" customWidth="1"/>
    <col min="7969" max="7969" width="17.33203125" style="505" customWidth="1"/>
    <col min="7970" max="7970" width="15.5546875" style="505" customWidth="1"/>
    <col min="7971" max="7971" width="0" style="505" hidden="1"/>
    <col min="7972" max="7972" width="16.6640625" style="505" customWidth="1"/>
    <col min="7973" max="7973" width="17.44140625" style="505" customWidth="1"/>
    <col min="7974" max="7975" width="0" style="505" hidden="1"/>
    <col min="7976" max="7978" width="15.33203125" style="505" customWidth="1"/>
    <col min="7979" max="7979" width="17" style="505" customWidth="1"/>
    <col min="7980" max="7980" width="0" style="505" hidden="1"/>
    <col min="7981" max="7982" width="15.5546875" style="505" customWidth="1"/>
    <col min="7983" max="7983" width="13.6640625" style="505" customWidth="1"/>
    <col min="7984" max="7984" width="9" style="505" customWidth="1"/>
    <col min="7985" max="7985" width="49.88671875" style="505" customWidth="1"/>
    <col min="7986" max="7986" width="0" style="505" hidden="1"/>
    <col min="7987" max="7988" width="15.88671875" style="505" customWidth="1"/>
    <col min="7989" max="7989" width="14.5546875" style="505" customWidth="1"/>
    <col min="7990" max="7990" width="16.33203125" style="505" customWidth="1"/>
    <col min="7991" max="7991" width="18.109375" style="505" customWidth="1"/>
    <col min="7992" max="7992" width="14.109375" style="505" customWidth="1"/>
    <col min="7993" max="8219" width="0" style="505" hidden="1"/>
    <col min="8220" max="8220" width="7.5546875" style="505" customWidth="1"/>
    <col min="8221" max="8221" width="36.77734375" style="505" customWidth="1"/>
    <col min="8222" max="8223" width="0" style="505" hidden="1"/>
    <col min="8224" max="8224" width="16.6640625" style="505" customWidth="1"/>
    <col min="8225" max="8225" width="17.33203125" style="505" customWidth="1"/>
    <col min="8226" max="8226" width="15.5546875" style="505" customWidth="1"/>
    <col min="8227" max="8227" width="0" style="505" hidden="1"/>
    <col min="8228" max="8228" width="16.6640625" style="505" customWidth="1"/>
    <col min="8229" max="8229" width="17.44140625" style="505" customWidth="1"/>
    <col min="8230" max="8231" width="0" style="505" hidden="1"/>
    <col min="8232" max="8234" width="15.33203125" style="505" customWidth="1"/>
    <col min="8235" max="8235" width="17" style="505" customWidth="1"/>
    <col min="8236" max="8236" width="0" style="505" hidden="1"/>
    <col min="8237" max="8238" width="15.5546875" style="505" customWidth="1"/>
    <col min="8239" max="8239" width="13.6640625" style="505" customWidth="1"/>
    <col min="8240" max="8240" width="9" style="505" customWidth="1"/>
    <col min="8241" max="8241" width="49.88671875" style="505" customWidth="1"/>
    <col min="8242" max="8242" width="0" style="505" hidden="1"/>
    <col min="8243" max="8244" width="15.88671875" style="505" customWidth="1"/>
    <col min="8245" max="8245" width="14.5546875" style="505" customWidth="1"/>
    <col min="8246" max="8246" width="16.33203125" style="505" customWidth="1"/>
    <col min="8247" max="8247" width="18.109375" style="505" customWidth="1"/>
    <col min="8248" max="8248" width="14.109375" style="505" customWidth="1"/>
    <col min="8249" max="8475" width="0" style="505" hidden="1"/>
    <col min="8476" max="8476" width="7.5546875" style="505" customWidth="1"/>
    <col min="8477" max="8477" width="36.77734375" style="505" customWidth="1"/>
    <col min="8478" max="8479" width="0" style="505" hidden="1"/>
    <col min="8480" max="8480" width="16.6640625" style="505" customWidth="1"/>
    <col min="8481" max="8481" width="17.33203125" style="505" customWidth="1"/>
    <col min="8482" max="8482" width="15.5546875" style="505" customWidth="1"/>
    <col min="8483" max="8483" width="0" style="505" hidden="1"/>
    <col min="8484" max="8484" width="16.6640625" style="505" customWidth="1"/>
    <col min="8485" max="8485" width="17.44140625" style="505" customWidth="1"/>
    <col min="8486" max="8487" width="0" style="505" hidden="1"/>
    <col min="8488" max="8490" width="15.33203125" style="505" customWidth="1"/>
    <col min="8491" max="8491" width="17" style="505" customWidth="1"/>
    <col min="8492" max="8492" width="0" style="505" hidden="1"/>
    <col min="8493" max="8494" width="15.5546875" style="505" customWidth="1"/>
    <col min="8495" max="8495" width="13.6640625" style="505" customWidth="1"/>
    <col min="8496" max="8496" width="9" style="505" customWidth="1"/>
    <col min="8497" max="8497" width="49.88671875" style="505" customWidth="1"/>
    <col min="8498" max="8498" width="0" style="505" hidden="1"/>
    <col min="8499" max="8500" width="15.88671875" style="505" customWidth="1"/>
    <col min="8501" max="8501" width="14.5546875" style="505" customWidth="1"/>
    <col min="8502" max="8502" width="16.33203125" style="505" customWidth="1"/>
    <col min="8503" max="8503" width="18.109375" style="505" customWidth="1"/>
    <col min="8504" max="8504" width="14.109375" style="505" customWidth="1"/>
    <col min="8505" max="8731" width="0" style="505" hidden="1"/>
    <col min="8732" max="8732" width="7.5546875" style="505" customWidth="1"/>
    <col min="8733" max="8733" width="36.77734375" style="505" customWidth="1"/>
    <col min="8734" max="8735" width="0" style="505" hidden="1"/>
    <col min="8736" max="8736" width="16.6640625" style="505" customWidth="1"/>
    <col min="8737" max="8737" width="17.33203125" style="505" customWidth="1"/>
    <col min="8738" max="8738" width="15.5546875" style="505" customWidth="1"/>
    <col min="8739" max="8739" width="0" style="505" hidden="1"/>
    <col min="8740" max="8740" width="16.6640625" style="505" customWidth="1"/>
    <col min="8741" max="8741" width="17.44140625" style="505" customWidth="1"/>
    <col min="8742" max="8743" width="0" style="505" hidden="1"/>
    <col min="8744" max="8746" width="15.33203125" style="505" customWidth="1"/>
    <col min="8747" max="8747" width="17" style="505" customWidth="1"/>
    <col min="8748" max="8748" width="0" style="505" hidden="1"/>
    <col min="8749" max="8750" width="15.5546875" style="505" customWidth="1"/>
    <col min="8751" max="8751" width="13.6640625" style="505" customWidth="1"/>
    <col min="8752" max="8752" width="9" style="505" customWidth="1"/>
    <col min="8753" max="8753" width="49.88671875" style="505" customWidth="1"/>
    <col min="8754" max="8754" width="0" style="505" hidden="1"/>
    <col min="8755" max="8756" width="15.88671875" style="505" customWidth="1"/>
    <col min="8757" max="8757" width="14.5546875" style="505" customWidth="1"/>
    <col min="8758" max="8758" width="16.33203125" style="505" customWidth="1"/>
    <col min="8759" max="8759" width="18.109375" style="505" customWidth="1"/>
    <col min="8760" max="8760" width="14.109375" style="505" customWidth="1"/>
    <col min="8761" max="8987" width="0" style="505" hidden="1"/>
    <col min="8988" max="8988" width="7.5546875" style="505" customWidth="1"/>
    <col min="8989" max="8989" width="36.77734375" style="505" customWidth="1"/>
    <col min="8990" max="8991" width="0" style="505" hidden="1"/>
    <col min="8992" max="8992" width="16.6640625" style="505" customWidth="1"/>
    <col min="8993" max="8993" width="17.33203125" style="505" customWidth="1"/>
    <col min="8994" max="8994" width="15.5546875" style="505" customWidth="1"/>
    <col min="8995" max="8995" width="0" style="505" hidden="1"/>
    <col min="8996" max="8996" width="16.6640625" style="505" customWidth="1"/>
    <col min="8997" max="8997" width="17.44140625" style="505" customWidth="1"/>
    <col min="8998" max="8999" width="0" style="505" hidden="1"/>
    <col min="9000" max="9002" width="15.33203125" style="505" customWidth="1"/>
    <col min="9003" max="9003" width="17" style="505" customWidth="1"/>
    <col min="9004" max="9004" width="0" style="505" hidden="1"/>
    <col min="9005" max="9006" width="15.5546875" style="505" customWidth="1"/>
    <col min="9007" max="9007" width="13.6640625" style="505" customWidth="1"/>
    <col min="9008" max="9008" width="9" style="505" customWidth="1"/>
    <col min="9009" max="9009" width="49.88671875" style="505" customWidth="1"/>
    <col min="9010" max="9010" width="0" style="505" hidden="1"/>
    <col min="9011" max="9012" width="15.88671875" style="505" customWidth="1"/>
    <col min="9013" max="9013" width="14.5546875" style="505" customWidth="1"/>
    <col min="9014" max="9014" width="16.33203125" style="505" customWidth="1"/>
    <col min="9015" max="9015" width="18.109375" style="505" customWidth="1"/>
    <col min="9016" max="9016" width="14.109375" style="505" customWidth="1"/>
    <col min="9017" max="9243" width="0" style="505" hidden="1"/>
    <col min="9244" max="9244" width="7.5546875" style="505" customWidth="1"/>
    <col min="9245" max="9245" width="36.77734375" style="505" customWidth="1"/>
    <col min="9246" max="9247" width="0" style="505" hidden="1"/>
    <col min="9248" max="9248" width="16.6640625" style="505" customWidth="1"/>
    <col min="9249" max="9249" width="17.33203125" style="505" customWidth="1"/>
    <col min="9250" max="9250" width="15.5546875" style="505" customWidth="1"/>
    <col min="9251" max="9251" width="0" style="505" hidden="1"/>
    <col min="9252" max="9252" width="16.6640625" style="505" customWidth="1"/>
    <col min="9253" max="9253" width="17.44140625" style="505" customWidth="1"/>
    <col min="9254" max="9255" width="0" style="505" hidden="1"/>
    <col min="9256" max="9258" width="15.33203125" style="505" customWidth="1"/>
    <col min="9259" max="9259" width="17" style="505" customWidth="1"/>
    <col min="9260" max="9260" width="0" style="505" hidden="1"/>
    <col min="9261" max="9262" width="15.5546875" style="505" customWidth="1"/>
    <col min="9263" max="9263" width="13.6640625" style="505" customWidth="1"/>
    <col min="9264" max="9264" width="9" style="505" customWidth="1"/>
    <col min="9265" max="9265" width="49.88671875" style="505" customWidth="1"/>
    <col min="9266" max="9266" width="0" style="505" hidden="1"/>
    <col min="9267" max="9268" width="15.88671875" style="505" customWidth="1"/>
    <col min="9269" max="9269" width="14.5546875" style="505" customWidth="1"/>
    <col min="9270" max="9270" width="16.33203125" style="505" customWidth="1"/>
    <col min="9271" max="9271" width="18.109375" style="505" customWidth="1"/>
    <col min="9272" max="9272" width="14.109375" style="505" customWidth="1"/>
    <col min="9273" max="9499" width="0" style="505" hidden="1"/>
    <col min="9500" max="9500" width="7.5546875" style="505" customWidth="1"/>
    <col min="9501" max="9501" width="36.77734375" style="505" customWidth="1"/>
    <col min="9502" max="9503" width="0" style="505" hidden="1"/>
    <col min="9504" max="9504" width="16.6640625" style="505" customWidth="1"/>
    <col min="9505" max="9505" width="17.33203125" style="505" customWidth="1"/>
    <col min="9506" max="9506" width="15.5546875" style="505" customWidth="1"/>
    <col min="9507" max="9507" width="0" style="505" hidden="1"/>
    <col min="9508" max="9508" width="16.6640625" style="505" customWidth="1"/>
    <col min="9509" max="9509" width="17.44140625" style="505" customWidth="1"/>
    <col min="9510" max="9511" width="0" style="505" hidden="1"/>
    <col min="9512" max="9514" width="15.33203125" style="505" customWidth="1"/>
    <col min="9515" max="9515" width="17" style="505" customWidth="1"/>
    <col min="9516" max="9516" width="0" style="505" hidden="1"/>
    <col min="9517" max="9518" width="15.5546875" style="505" customWidth="1"/>
    <col min="9519" max="9519" width="13.6640625" style="505" customWidth="1"/>
    <col min="9520" max="9520" width="9" style="505" customWidth="1"/>
    <col min="9521" max="9521" width="49.88671875" style="505" customWidth="1"/>
    <col min="9522" max="9522" width="0" style="505" hidden="1"/>
    <col min="9523" max="9524" width="15.88671875" style="505" customWidth="1"/>
    <col min="9525" max="9525" width="14.5546875" style="505" customWidth="1"/>
    <col min="9526" max="9526" width="16.33203125" style="505" customWidth="1"/>
    <col min="9527" max="9527" width="18.109375" style="505" customWidth="1"/>
    <col min="9528" max="9528" width="14.109375" style="505" customWidth="1"/>
    <col min="9529" max="9755" width="0" style="505" hidden="1"/>
    <col min="9756" max="9756" width="7.5546875" style="505" customWidth="1"/>
    <col min="9757" max="9757" width="36.77734375" style="505" customWidth="1"/>
    <col min="9758" max="9759" width="0" style="505" hidden="1"/>
    <col min="9760" max="9760" width="16.6640625" style="505" customWidth="1"/>
    <col min="9761" max="9761" width="17.33203125" style="505" customWidth="1"/>
    <col min="9762" max="9762" width="15.5546875" style="505" customWidth="1"/>
    <col min="9763" max="9763" width="0" style="505" hidden="1"/>
    <col min="9764" max="9764" width="16.6640625" style="505" customWidth="1"/>
    <col min="9765" max="9765" width="17.44140625" style="505" customWidth="1"/>
    <col min="9766" max="9767" width="0" style="505" hidden="1"/>
    <col min="9768" max="9770" width="15.33203125" style="505" customWidth="1"/>
    <col min="9771" max="9771" width="17" style="505" customWidth="1"/>
    <col min="9772" max="9772" width="0" style="505" hidden="1"/>
    <col min="9773" max="9774" width="15.5546875" style="505" customWidth="1"/>
    <col min="9775" max="9775" width="13.6640625" style="505" customWidth="1"/>
    <col min="9776" max="9776" width="9" style="505" customWidth="1"/>
    <col min="9777" max="9777" width="49.88671875" style="505" customWidth="1"/>
    <col min="9778" max="9778" width="0" style="505" hidden="1"/>
    <col min="9779" max="9780" width="15.88671875" style="505" customWidth="1"/>
    <col min="9781" max="9781" width="14.5546875" style="505" customWidth="1"/>
    <col min="9782" max="9782" width="16.33203125" style="505" customWidth="1"/>
    <col min="9783" max="9783" width="18.109375" style="505" customWidth="1"/>
    <col min="9784" max="9784" width="14.109375" style="505" customWidth="1"/>
    <col min="9785" max="10011" width="0" style="505" hidden="1"/>
    <col min="10012" max="10012" width="7.5546875" style="505" customWidth="1"/>
    <col min="10013" max="10013" width="36.77734375" style="505" customWidth="1"/>
    <col min="10014" max="10015" width="0" style="505" hidden="1"/>
    <col min="10016" max="10016" width="16.6640625" style="505" customWidth="1"/>
    <col min="10017" max="10017" width="17.33203125" style="505" customWidth="1"/>
    <col min="10018" max="10018" width="15.5546875" style="505" customWidth="1"/>
    <col min="10019" max="10019" width="0" style="505" hidden="1"/>
    <col min="10020" max="10020" width="16.6640625" style="505" customWidth="1"/>
    <col min="10021" max="10021" width="17.44140625" style="505" customWidth="1"/>
    <col min="10022" max="10023" width="0" style="505" hidden="1"/>
    <col min="10024" max="10026" width="15.33203125" style="505" customWidth="1"/>
    <col min="10027" max="10027" width="17" style="505" customWidth="1"/>
    <col min="10028" max="10028" width="0" style="505" hidden="1"/>
    <col min="10029" max="10030" width="15.5546875" style="505" customWidth="1"/>
    <col min="10031" max="10031" width="13.6640625" style="505" customWidth="1"/>
    <col min="10032" max="10032" width="9" style="505" customWidth="1"/>
    <col min="10033" max="10033" width="49.88671875" style="505" customWidth="1"/>
    <col min="10034" max="10034" width="0" style="505" hidden="1"/>
    <col min="10035" max="10036" width="15.88671875" style="505" customWidth="1"/>
    <col min="10037" max="10037" width="14.5546875" style="505" customWidth="1"/>
    <col min="10038" max="10038" width="16.33203125" style="505" customWidth="1"/>
    <col min="10039" max="10039" width="18.109375" style="505" customWidth="1"/>
    <col min="10040" max="10040" width="14.109375" style="505" customWidth="1"/>
    <col min="10041" max="10267" width="0" style="505" hidden="1"/>
    <col min="10268" max="10268" width="7.5546875" style="505" customWidth="1"/>
    <col min="10269" max="10269" width="36.77734375" style="505" customWidth="1"/>
    <col min="10270" max="10271" width="0" style="505" hidden="1"/>
    <col min="10272" max="10272" width="16.6640625" style="505" customWidth="1"/>
    <col min="10273" max="10273" width="17.33203125" style="505" customWidth="1"/>
    <col min="10274" max="10274" width="15.5546875" style="505" customWidth="1"/>
    <col min="10275" max="10275" width="0" style="505" hidden="1"/>
    <col min="10276" max="10276" width="16.6640625" style="505" customWidth="1"/>
    <col min="10277" max="10277" width="17.44140625" style="505" customWidth="1"/>
    <col min="10278" max="10279" width="0" style="505" hidden="1"/>
    <col min="10280" max="10282" width="15.33203125" style="505" customWidth="1"/>
    <col min="10283" max="10283" width="17" style="505" customWidth="1"/>
    <col min="10284" max="10284" width="0" style="505" hidden="1"/>
    <col min="10285" max="10286" width="15.5546875" style="505" customWidth="1"/>
    <col min="10287" max="10287" width="13.6640625" style="505" customWidth="1"/>
    <col min="10288" max="10288" width="9" style="505" customWidth="1"/>
    <col min="10289" max="10289" width="49.88671875" style="505" customWidth="1"/>
    <col min="10290" max="10290" width="0" style="505" hidden="1"/>
    <col min="10291" max="10292" width="15.88671875" style="505" customWidth="1"/>
    <col min="10293" max="10293" width="14.5546875" style="505" customWidth="1"/>
    <col min="10294" max="10294" width="16.33203125" style="505" customWidth="1"/>
    <col min="10295" max="10295" width="18.109375" style="505" customWidth="1"/>
    <col min="10296" max="10296" width="14.109375" style="505" customWidth="1"/>
    <col min="10297" max="10523" width="0" style="505" hidden="1"/>
    <col min="10524" max="10524" width="7.5546875" style="505" customWidth="1"/>
    <col min="10525" max="10525" width="36.77734375" style="505" customWidth="1"/>
    <col min="10526" max="10527" width="0" style="505" hidden="1"/>
    <col min="10528" max="10528" width="16.6640625" style="505" customWidth="1"/>
    <col min="10529" max="10529" width="17.33203125" style="505" customWidth="1"/>
    <col min="10530" max="10530" width="15.5546875" style="505" customWidth="1"/>
    <col min="10531" max="10531" width="0" style="505" hidden="1"/>
    <col min="10532" max="10532" width="16.6640625" style="505" customWidth="1"/>
    <col min="10533" max="10533" width="17.44140625" style="505" customWidth="1"/>
    <col min="10534" max="10535" width="0" style="505" hidden="1"/>
    <col min="10536" max="10538" width="15.33203125" style="505" customWidth="1"/>
    <col min="10539" max="10539" width="17" style="505" customWidth="1"/>
    <col min="10540" max="10540" width="0" style="505" hidden="1"/>
    <col min="10541" max="10542" width="15.5546875" style="505" customWidth="1"/>
    <col min="10543" max="10543" width="13.6640625" style="505" customWidth="1"/>
    <col min="10544" max="10544" width="9" style="505" customWidth="1"/>
    <col min="10545" max="10545" width="49.88671875" style="505" customWidth="1"/>
    <col min="10546" max="10546" width="0" style="505" hidden="1"/>
    <col min="10547" max="10548" width="15.88671875" style="505" customWidth="1"/>
    <col min="10549" max="10549" width="14.5546875" style="505" customWidth="1"/>
    <col min="10550" max="10550" width="16.33203125" style="505" customWidth="1"/>
    <col min="10551" max="10551" width="18.109375" style="505" customWidth="1"/>
    <col min="10552" max="10552" width="14.109375" style="505" customWidth="1"/>
    <col min="10553" max="10779" width="0" style="505" hidden="1"/>
    <col min="10780" max="10780" width="7.5546875" style="505" customWidth="1"/>
    <col min="10781" max="10781" width="36.77734375" style="505" customWidth="1"/>
    <col min="10782" max="10783" width="0" style="505" hidden="1"/>
    <col min="10784" max="10784" width="16.6640625" style="505" customWidth="1"/>
    <col min="10785" max="10785" width="17.33203125" style="505" customWidth="1"/>
    <col min="10786" max="10786" width="15.5546875" style="505" customWidth="1"/>
    <col min="10787" max="10787" width="0" style="505" hidden="1"/>
    <col min="10788" max="10788" width="16.6640625" style="505" customWidth="1"/>
    <col min="10789" max="10789" width="17.44140625" style="505" customWidth="1"/>
    <col min="10790" max="10791" width="0" style="505" hidden="1"/>
    <col min="10792" max="10794" width="15.33203125" style="505" customWidth="1"/>
    <col min="10795" max="10795" width="17" style="505" customWidth="1"/>
    <col min="10796" max="10796" width="0" style="505" hidden="1"/>
    <col min="10797" max="10798" width="15.5546875" style="505" customWidth="1"/>
    <col min="10799" max="10799" width="13.6640625" style="505" customWidth="1"/>
    <col min="10800" max="10800" width="9" style="505" customWidth="1"/>
    <col min="10801" max="10801" width="49.88671875" style="505" customWidth="1"/>
    <col min="10802" max="10802" width="0" style="505" hidden="1"/>
    <col min="10803" max="10804" width="15.88671875" style="505" customWidth="1"/>
    <col min="10805" max="10805" width="14.5546875" style="505" customWidth="1"/>
    <col min="10806" max="10806" width="16.33203125" style="505" customWidth="1"/>
    <col min="10807" max="10807" width="18.109375" style="505" customWidth="1"/>
    <col min="10808" max="10808" width="14.109375" style="505" customWidth="1"/>
    <col min="10809" max="11035" width="0" style="505" hidden="1"/>
    <col min="11036" max="11036" width="7.5546875" style="505" customWidth="1"/>
    <col min="11037" max="11037" width="36.77734375" style="505" customWidth="1"/>
    <col min="11038" max="11039" width="0" style="505" hidden="1"/>
    <col min="11040" max="11040" width="16.6640625" style="505" customWidth="1"/>
    <col min="11041" max="11041" width="17.33203125" style="505" customWidth="1"/>
    <col min="11042" max="11042" width="15.5546875" style="505" customWidth="1"/>
    <col min="11043" max="11043" width="0" style="505" hidden="1"/>
    <col min="11044" max="11044" width="16.6640625" style="505" customWidth="1"/>
    <col min="11045" max="11045" width="17.44140625" style="505" customWidth="1"/>
    <col min="11046" max="11047" width="0" style="505" hidden="1"/>
    <col min="11048" max="11050" width="15.33203125" style="505" customWidth="1"/>
    <col min="11051" max="11051" width="17" style="505" customWidth="1"/>
    <col min="11052" max="11052" width="0" style="505" hidden="1"/>
    <col min="11053" max="11054" width="15.5546875" style="505" customWidth="1"/>
    <col min="11055" max="11055" width="13.6640625" style="505" customWidth="1"/>
    <col min="11056" max="11056" width="9" style="505" customWidth="1"/>
    <col min="11057" max="11057" width="49.88671875" style="505" customWidth="1"/>
    <col min="11058" max="11058" width="0" style="505" hidden="1"/>
    <col min="11059" max="11060" width="15.88671875" style="505" customWidth="1"/>
    <col min="11061" max="11061" width="14.5546875" style="505" customWidth="1"/>
    <col min="11062" max="11062" width="16.33203125" style="505" customWidth="1"/>
    <col min="11063" max="11063" width="18.109375" style="505" customWidth="1"/>
    <col min="11064" max="11064" width="14.109375" style="505" customWidth="1"/>
    <col min="11065" max="11291" width="0" style="505" hidden="1"/>
    <col min="11292" max="11292" width="7.5546875" style="505" customWidth="1"/>
    <col min="11293" max="11293" width="36.77734375" style="505" customWidth="1"/>
    <col min="11294" max="11295" width="0" style="505" hidden="1"/>
    <col min="11296" max="11296" width="16.6640625" style="505" customWidth="1"/>
    <col min="11297" max="11297" width="17.33203125" style="505" customWidth="1"/>
    <col min="11298" max="11298" width="15.5546875" style="505" customWidth="1"/>
    <col min="11299" max="11299" width="0" style="505" hidden="1"/>
    <col min="11300" max="11300" width="16.6640625" style="505" customWidth="1"/>
    <col min="11301" max="11301" width="17.44140625" style="505" customWidth="1"/>
    <col min="11302" max="11303" width="0" style="505" hidden="1"/>
    <col min="11304" max="11306" width="15.33203125" style="505" customWidth="1"/>
    <col min="11307" max="11307" width="17" style="505" customWidth="1"/>
    <col min="11308" max="11308" width="0" style="505" hidden="1"/>
    <col min="11309" max="11310" width="15.5546875" style="505" customWidth="1"/>
    <col min="11311" max="11311" width="13.6640625" style="505" customWidth="1"/>
    <col min="11312" max="11312" width="9" style="505" customWidth="1"/>
    <col min="11313" max="11313" width="49.88671875" style="505" customWidth="1"/>
    <col min="11314" max="11314" width="0" style="505" hidden="1"/>
    <col min="11315" max="11316" width="15.88671875" style="505" customWidth="1"/>
    <col min="11317" max="11317" width="14.5546875" style="505" customWidth="1"/>
    <col min="11318" max="11318" width="16.33203125" style="505" customWidth="1"/>
    <col min="11319" max="11319" width="18.109375" style="505" customWidth="1"/>
    <col min="11320" max="11320" width="14.109375" style="505" customWidth="1"/>
    <col min="11321" max="11547" width="0" style="505" hidden="1"/>
    <col min="11548" max="11548" width="7.5546875" style="505" customWidth="1"/>
    <col min="11549" max="11549" width="36.77734375" style="505" customWidth="1"/>
    <col min="11550" max="11551" width="0" style="505" hidden="1"/>
    <col min="11552" max="11552" width="16.6640625" style="505" customWidth="1"/>
    <col min="11553" max="11553" width="17.33203125" style="505" customWidth="1"/>
    <col min="11554" max="11554" width="15.5546875" style="505" customWidth="1"/>
    <col min="11555" max="11555" width="0" style="505" hidden="1"/>
    <col min="11556" max="11556" width="16.6640625" style="505" customWidth="1"/>
    <col min="11557" max="11557" width="17.44140625" style="505" customWidth="1"/>
    <col min="11558" max="11559" width="0" style="505" hidden="1"/>
    <col min="11560" max="11562" width="15.33203125" style="505" customWidth="1"/>
    <col min="11563" max="11563" width="17" style="505" customWidth="1"/>
    <col min="11564" max="11564" width="0" style="505" hidden="1"/>
    <col min="11565" max="11566" width="15.5546875" style="505" customWidth="1"/>
    <col min="11567" max="11567" width="13.6640625" style="505" customWidth="1"/>
    <col min="11568" max="11568" width="9" style="505" customWidth="1"/>
    <col min="11569" max="11569" width="49.88671875" style="505" customWidth="1"/>
    <col min="11570" max="11570" width="0" style="505" hidden="1"/>
    <col min="11571" max="11572" width="15.88671875" style="505" customWidth="1"/>
    <col min="11573" max="11573" width="14.5546875" style="505" customWidth="1"/>
    <col min="11574" max="11574" width="16.33203125" style="505" customWidth="1"/>
    <col min="11575" max="11575" width="18.109375" style="505" customWidth="1"/>
    <col min="11576" max="11576" width="14.109375" style="505" customWidth="1"/>
    <col min="11577" max="11803" width="0" style="505" hidden="1"/>
    <col min="11804" max="11804" width="7.5546875" style="505" customWidth="1"/>
    <col min="11805" max="11805" width="36.77734375" style="505" customWidth="1"/>
    <col min="11806" max="11807" width="0" style="505" hidden="1"/>
    <col min="11808" max="11808" width="16.6640625" style="505" customWidth="1"/>
    <col min="11809" max="11809" width="17.33203125" style="505" customWidth="1"/>
    <col min="11810" max="11810" width="15.5546875" style="505" customWidth="1"/>
    <col min="11811" max="11811" width="0" style="505" hidden="1"/>
    <col min="11812" max="11812" width="16.6640625" style="505" customWidth="1"/>
    <col min="11813" max="11813" width="17.44140625" style="505" customWidth="1"/>
    <col min="11814" max="11815" width="0" style="505" hidden="1"/>
    <col min="11816" max="11818" width="15.33203125" style="505" customWidth="1"/>
    <col min="11819" max="11819" width="17" style="505" customWidth="1"/>
    <col min="11820" max="11820" width="0" style="505" hidden="1"/>
    <col min="11821" max="11822" width="15.5546875" style="505" customWidth="1"/>
    <col min="11823" max="11823" width="13.6640625" style="505" customWidth="1"/>
    <col min="11824" max="11824" width="9" style="505" customWidth="1"/>
    <col min="11825" max="11825" width="49.88671875" style="505" customWidth="1"/>
    <col min="11826" max="11826" width="0" style="505" hidden="1"/>
    <col min="11827" max="11828" width="15.88671875" style="505" customWidth="1"/>
    <col min="11829" max="11829" width="14.5546875" style="505" customWidth="1"/>
    <col min="11830" max="11830" width="16.33203125" style="505" customWidth="1"/>
    <col min="11831" max="11831" width="18.109375" style="505" customWidth="1"/>
    <col min="11832" max="11832" width="14.109375" style="505" customWidth="1"/>
    <col min="11833" max="12059" width="0" style="505" hidden="1"/>
    <col min="12060" max="12060" width="7.5546875" style="505" customWidth="1"/>
    <col min="12061" max="12061" width="36.77734375" style="505" customWidth="1"/>
    <col min="12062" max="12063" width="0" style="505" hidden="1"/>
    <col min="12064" max="12064" width="16.6640625" style="505" customWidth="1"/>
    <col min="12065" max="12065" width="17.33203125" style="505" customWidth="1"/>
    <col min="12066" max="12066" width="15.5546875" style="505" customWidth="1"/>
    <col min="12067" max="12067" width="0" style="505" hidden="1"/>
    <col min="12068" max="12068" width="16.6640625" style="505" customWidth="1"/>
    <col min="12069" max="12069" width="17.44140625" style="505" customWidth="1"/>
    <col min="12070" max="12071" width="0" style="505" hidden="1"/>
    <col min="12072" max="12074" width="15.33203125" style="505" customWidth="1"/>
    <col min="12075" max="12075" width="17" style="505" customWidth="1"/>
    <col min="12076" max="12076" width="0" style="505" hidden="1"/>
    <col min="12077" max="12078" width="15.5546875" style="505" customWidth="1"/>
    <col min="12079" max="12079" width="13.6640625" style="505" customWidth="1"/>
    <col min="12080" max="12080" width="9" style="505" customWidth="1"/>
    <col min="12081" max="12081" width="49.88671875" style="505" customWidth="1"/>
    <col min="12082" max="12082" width="0" style="505" hidden="1"/>
    <col min="12083" max="12084" width="15.88671875" style="505" customWidth="1"/>
    <col min="12085" max="12085" width="14.5546875" style="505" customWidth="1"/>
    <col min="12086" max="12086" width="16.33203125" style="505" customWidth="1"/>
    <col min="12087" max="12087" width="18.109375" style="505" customWidth="1"/>
    <col min="12088" max="12088" width="14.109375" style="505" customWidth="1"/>
    <col min="12089" max="12315" width="0" style="505" hidden="1"/>
    <col min="12316" max="12316" width="7.5546875" style="505" customWidth="1"/>
    <col min="12317" max="12317" width="36.77734375" style="505" customWidth="1"/>
    <col min="12318" max="12319" width="0" style="505" hidden="1"/>
    <col min="12320" max="12320" width="16.6640625" style="505" customWidth="1"/>
    <col min="12321" max="12321" width="17.33203125" style="505" customWidth="1"/>
    <col min="12322" max="12322" width="15.5546875" style="505" customWidth="1"/>
    <col min="12323" max="12323" width="0" style="505" hidden="1"/>
    <col min="12324" max="12324" width="16.6640625" style="505" customWidth="1"/>
    <col min="12325" max="12325" width="17.44140625" style="505" customWidth="1"/>
    <col min="12326" max="12327" width="0" style="505" hidden="1"/>
    <col min="12328" max="12330" width="15.33203125" style="505" customWidth="1"/>
    <col min="12331" max="12331" width="17" style="505" customWidth="1"/>
    <col min="12332" max="12332" width="0" style="505" hidden="1"/>
    <col min="12333" max="12334" width="15.5546875" style="505" customWidth="1"/>
    <col min="12335" max="12335" width="13.6640625" style="505" customWidth="1"/>
    <col min="12336" max="12336" width="9" style="505" customWidth="1"/>
    <col min="12337" max="12337" width="49.88671875" style="505" customWidth="1"/>
    <col min="12338" max="12338" width="0" style="505" hidden="1"/>
    <col min="12339" max="12340" width="15.88671875" style="505" customWidth="1"/>
    <col min="12341" max="12341" width="14.5546875" style="505" customWidth="1"/>
    <col min="12342" max="12342" width="16.33203125" style="505" customWidth="1"/>
    <col min="12343" max="12343" width="18.109375" style="505" customWidth="1"/>
    <col min="12344" max="12344" width="14.109375" style="505" customWidth="1"/>
    <col min="12345" max="12571" width="0" style="505" hidden="1"/>
    <col min="12572" max="12572" width="7.5546875" style="505" customWidth="1"/>
    <col min="12573" max="12573" width="36.77734375" style="505" customWidth="1"/>
    <col min="12574" max="12575" width="0" style="505" hidden="1"/>
    <col min="12576" max="12576" width="16.6640625" style="505" customWidth="1"/>
    <col min="12577" max="12577" width="17.33203125" style="505" customWidth="1"/>
    <col min="12578" max="12578" width="15.5546875" style="505" customWidth="1"/>
    <col min="12579" max="12579" width="0" style="505" hidden="1"/>
    <col min="12580" max="12580" width="16.6640625" style="505" customWidth="1"/>
    <col min="12581" max="12581" width="17.44140625" style="505" customWidth="1"/>
    <col min="12582" max="12583" width="0" style="505" hidden="1"/>
    <col min="12584" max="12586" width="15.33203125" style="505" customWidth="1"/>
    <col min="12587" max="12587" width="17" style="505" customWidth="1"/>
    <col min="12588" max="12588" width="0" style="505" hidden="1"/>
    <col min="12589" max="12590" width="15.5546875" style="505" customWidth="1"/>
    <col min="12591" max="12591" width="13.6640625" style="505" customWidth="1"/>
    <col min="12592" max="12592" width="9" style="505" customWidth="1"/>
    <col min="12593" max="12593" width="49.88671875" style="505" customWidth="1"/>
    <col min="12594" max="12594" width="0" style="505" hidden="1"/>
    <col min="12595" max="12596" width="15.88671875" style="505" customWidth="1"/>
    <col min="12597" max="12597" width="14.5546875" style="505" customWidth="1"/>
    <col min="12598" max="12598" width="16.33203125" style="505" customWidth="1"/>
    <col min="12599" max="12599" width="18.109375" style="505" customWidth="1"/>
    <col min="12600" max="12600" width="14.109375" style="505" customWidth="1"/>
    <col min="12601" max="12827" width="0" style="505" hidden="1"/>
    <col min="12828" max="12828" width="7.5546875" style="505" customWidth="1"/>
    <col min="12829" max="12829" width="36.77734375" style="505" customWidth="1"/>
    <col min="12830" max="12831" width="0" style="505" hidden="1"/>
    <col min="12832" max="12832" width="16.6640625" style="505" customWidth="1"/>
    <col min="12833" max="12833" width="17.33203125" style="505" customWidth="1"/>
    <col min="12834" max="12834" width="15.5546875" style="505" customWidth="1"/>
    <col min="12835" max="12835" width="0" style="505" hidden="1"/>
    <col min="12836" max="12836" width="16.6640625" style="505" customWidth="1"/>
    <col min="12837" max="12837" width="17.44140625" style="505" customWidth="1"/>
    <col min="12838" max="12839" width="0" style="505" hidden="1"/>
    <col min="12840" max="12842" width="15.33203125" style="505" customWidth="1"/>
    <col min="12843" max="12843" width="17" style="505" customWidth="1"/>
    <col min="12844" max="12844" width="0" style="505" hidden="1"/>
    <col min="12845" max="12846" width="15.5546875" style="505" customWidth="1"/>
    <col min="12847" max="12847" width="13.6640625" style="505" customWidth="1"/>
    <col min="12848" max="12848" width="9" style="505" customWidth="1"/>
    <col min="12849" max="12849" width="49.88671875" style="505" customWidth="1"/>
    <col min="12850" max="12850" width="0" style="505" hidden="1"/>
    <col min="12851" max="12852" width="15.88671875" style="505" customWidth="1"/>
    <col min="12853" max="12853" width="14.5546875" style="505" customWidth="1"/>
    <col min="12854" max="12854" width="16.33203125" style="505" customWidth="1"/>
    <col min="12855" max="12855" width="18.109375" style="505" customWidth="1"/>
    <col min="12856" max="12856" width="14.109375" style="505" customWidth="1"/>
    <col min="12857" max="13083" width="0" style="505" hidden="1"/>
    <col min="13084" max="13084" width="7.5546875" style="505" customWidth="1"/>
    <col min="13085" max="13085" width="36.77734375" style="505" customWidth="1"/>
    <col min="13086" max="13087" width="0" style="505" hidden="1"/>
    <col min="13088" max="13088" width="16.6640625" style="505" customWidth="1"/>
    <col min="13089" max="13089" width="17.33203125" style="505" customWidth="1"/>
    <col min="13090" max="13090" width="15.5546875" style="505" customWidth="1"/>
    <col min="13091" max="13091" width="0" style="505" hidden="1"/>
    <col min="13092" max="13092" width="16.6640625" style="505" customWidth="1"/>
    <col min="13093" max="13093" width="17.44140625" style="505" customWidth="1"/>
    <col min="13094" max="13095" width="0" style="505" hidden="1"/>
    <col min="13096" max="13098" width="15.33203125" style="505" customWidth="1"/>
    <col min="13099" max="13099" width="17" style="505" customWidth="1"/>
    <col min="13100" max="13100" width="0" style="505" hidden="1"/>
    <col min="13101" max="13102" width="15.5546875" style="505" customWidth="1"/>
    <col min="13103" max="13103" width="13.6640625" style="505" customWidth="1"/>
    <col min="13104" max="13104" width="9" style="505" customWidth="1"/>
    <col min="13105" max="13105" width="49.88671875" style="505" customWidth="1"/>
    <col min="13106" max="13106" width="0" style="505" hidden="1"/>
    <col min="13107" max="13108" width="15.88671875" style="505" customWidth="1"/>
    <col min="13109" max="13109" width="14.5546875" style="505" customWidth="1"/>
    <col min="13110" max="13110" width="16.33203125" style="505" customWidth="1"/>
    <col min="13111" max="13111" width="18.109375" style="505" customWidth="1"/>
    <col min="13112" max="13112" width="14.109375" style="505" customWidth="1"/>
    <col min="13113" max="13339" width="0" style="505" hidden="1"/>
    <col min="13340" max="13340" width="7.5546875" style="505" customWidth="1"/>
    <col min="13341" max="13341" width="36.77734375" style="505" customWidth="1"/>
    <col min="13342" max="13343" width="0" style="505" hidden="1"/>
    <col min="13344" max="13344" width="16.6640625" style="505" customWidth="1"/>
    <col min="13345" max="13345" width="17.33203125" style="505" customWidth="1"/>
    <col min="13346" max="13346" width="15.5546875" style="505" customWidth="1"/>
    <col min="13347" max="13347" width="0" style="505" hidden="1"/>
    <col min="13348" max="13348" width="16.6640625" style="505" customWidth="1"/>
    <col min="13349" max="13349" width="17.44140625" style="505" customWidth="1"/>
    <col min="13350" max="13351" width="0" style="505" hidden="1"/>
    <col min="13352" max="13354" width="15.33203125" style="505" customWidth="1"/>
    <col min="13355" max="13355" width="17" style="505" customWidth="1"/>
    <col min="13356" max="13356" width="0" style="505" hidden="1"/>
    <col min="13357" max="13358" width="15.5546875" style="505" customWidth="1"/>
    <col min="13359" max="13359" width="13.6640625" style="505" customWidth="1"/>
    <col min="13360" max="13360" width="9" style="505" customWidth="1"/>
    <col min="13361" max="13361" width="49.88671875" style="505" customWidth="1"/>
    <col min="13362" max="13362" width="0" style="505" hidden="1"/>
    <col min="13363" max="13364" width="15.88671875" style="505" customWidth="1"/>
    <col min="13365" max="13365" width="14.5546875" style="505" customWidth="1"/>
    <col min="13366" max="13366" width="16.33203125" style="505" customWidth="1"/>
    <col min="13367" max="13367" width="18.109375" style="505" customWidth="1"/>
    <col min="13368" max="13368" width="14.109375" style="505" customWidth="1"/>
    <col min="13369" max="13595" width="0" style="505" hidden="1"/>
    <col min="13596" max="13596" width="7.5546875" style="505" customWidth="1"/>
    <col min="13597" max="13597" width="36.77734375" style="505" customWidth="1"/>
    <col min="13598" max="13599" width="0" style="505" hidden="1"/>
    <col min="13600" max="13600" width="16.6640625" style="505" customWidth="1"/>
    <col min="13601" max="13601" width="17.33203125" style="505" customWidth="1"/>
    <col min="13602" max="13602" width="15.5546875" style="505" customWidth="1"/>
    <col min="13603" max="13603" width="0" style="505" hidden="1"/>
    <col min="13604" max="13604" width="16.6640625" style="505" customWidth="1"/>
    <col min="13605" max="13605" width="17.44140625" style="505" customWidth="1"/>
    <col min="13606" max="13607" width="0" style="505" hidden="1"/>
    <col min="13608" max="13610" width="15.33203125" style="505" customWidth="1"/>
    <col min="13611" max="13611" width="17" style="505" customWidth="1"/>
    <col min="13612" max="13612" width="0" style="505" hidden="1"/>
    <col min="13613" max="13614" width="15.5546875" style="505" customWidth="1"/>
    <col min="13615" max="13615" width="13.6640625" style="505" customWidth="1"/>
    <col min="13616" max="13616" width="9" style="505" customWidth="1"/>
    <col min="13617" max="13617" width="49.88671875" style="505" customWidth="1"/>
    <col min="13618" max="13618" width="0" style="505" hidden="1"/>
    <col min="13619" max="13620" width="15.88671875" style="505" customWidth="1"/>
    <col min="13621" max="13621" width="14.5546875" style="505" customWidth="1"/>
    <col min="13622" max="13622" width="16.33203125" style="505" customWidth="1"/>
    <col min="13623" max="13623" width="18.109375" style="505" customWidth="1"/>
    <col min="13624" max="13624" width="14.109375" style="505" customWidth="1"/>
    <col min="13625" max="13851" width="0" style="505" hidden="1"/>
    <col min="13852" max="13852" width="7.5546875" style="505" customWidth="1"/>
    <col min="13853" max="13853" width="36.77734375" style="505" customWidth="1"/>
    <col min="13854" max="13855" width="0" style="505" hidden="1"/>
    <col min="13856" max="13856" width="16.6640625" style="505" customWidth="1"/>
    <col min="13857" max="13857" width="17.33203125" style="505" customWidth="1"/>
    <col min="13858" max="13858" width="15.5546875" style="505" customWidth="1"/>
    <col min="13859" max="13859" width="0" style="505" hidden="1"/>
    <col min="13860" max="13860" width="16.6640625" style="505" customWidth="1"/>
    <col min="13861" max="13861" width="17.44140625" style="505" customWidth="1"/>
    <col min="13862" max="13863" width="0" style="505" hidden="1"/>
    <col min="13864" max="13866" width="15.33203125" style="505" customWidth="1"/>
    <col min="13867" max="13867" width="17" style="505" customWidth="1"/>
    <col min="13868" max="13868" width="0" style="505" hidden="1"/>
    <col min="13869" max="13870" width="15.5546875" style="505" customWidth="1"/>
    <col min="13871" max="13871" width="13.6640625" style="505" customWidth="1"/>
    <col min="13872" max="13872" width="9" style="505" customWidth="1"/>
    <col min="13873" max="13873" width="49.88671875" style="505" customWidth="1"/>
    <col min="13874" max="13874" width="0" style="505" hidden="1"/>
    <col min="13875" max="13876" width="15.88671875" style="505" customWidth="1"/>
    <col min="13877" max="13877" width="14.5546875" style="505" customWidth="1"/>
    <col min="13878" max="13878" width="16.33203125" style="505" customWidth="1"/>
    <col min="13879" max="13879" width="18.109375" style="505" customWidth="1"/>
    <col min="13880" max="13880" width="14.109375" style="505" customWidth="1"/>
    <col min="13881" max="14107" width="0" style="505" hidden="1"/>
    <col min="14108" max="14108" width="7.5546875" style="505" customWidth="1"/>
    <col min="14109" max="14109" width="36.77734375" style="505" customWidth="1"/>
    <col min="14110" max="14111" width="0" style="505" hidden="1"/>
    <col min="14112" max="14112" width="16.6640625" style="505" customWidth="1"/>
    <col min="14113" max="14113" width="17.33203125" style="505" customWidth="1"/>
    <col min="14114" max="14114" width="15.5546875" style="505" customWidth="1"/>
    <col min="14115" max="14115" width="0" style="505" hidden="1"/>
    <col min="14116" max="14116" width="16.6640625" style="505" customWidth="1"/>
    <col min="14117" max="14117" width="17.44140625" style="505" customWidth="1"/>
    <col min="14118" max="14119" width="0" style="505" hidden="1"/>
    <col min="14120" max="14122" width="15.33203125" style="505" customWidth="1"/>
    <col min="14123" max="14123" width="17" style="505" customWidth="1"/>
    <col min="14124" max="14124" width="0" style="505" hidden="1"/>
    <col min="14125" max="14126" width="15.5546875" style="505" customWidth="1"/>
    <col min="14127" max="14127" width="13.6640625" style="505" customWidth="1"/>
    <col min="14128" max="14128" width="9" style="505" customWidth="1"/>
    <col min="14129" max="14129" width="49.88671875" style="505" customWidth="1"/>
    <col min="14130" max="14130" width="0" style="505" hidden="1"/>
    <col min="14131" max="14132" width="15.88671875" style="505" customWidth="1"/>
    <col min="14133" max="14133" width="14.5546875" style="505" customWidth="1"/>
    <col min="14134" max="14134" width="16.33203125" style="505" customWidth="1"/>
    <col min="14135" max="14135" width="18.109375" style="505" customWidth="1"/>
    <col min="14136" max="14136" width="14.109375" style="505" customWidth="1"/>
    <col min="14137" max="14363" width="0" style="505" hidden="1"/>
    <col min="14364" max="14364" width="7.5546875" style="505" customWidth="1"/>
    <col min="14365" max="14365" width="36.77734375" style="505" customWidth="1"/>
    <col min="14366" max="14367" width="0" style="505" hidden="1"/>
    <col min="14368" max="14368" width="16.6640625" style="505" customWidth="1"/>
    <col min="14369" max="14369" width="17.33203125" style="505" customWidth="1"/>
    <col min="14370" max="14370" width="15.5546875" style="505" customWidth="1"/>
    <col min="14371" max="14371" width="0" style="505" hidden="1"/>
    <col min="14372" max="14372" width="16.6640625" style="505" customWidth="1"/>
    <col min="14373" max="14373" width="17.44140625" style="505" customWidth="1"/>
    <col min="14374" max="14375" width="0" style="505" hidden="1"/>
    <col min="14376" max="14378" width="15.33203125" style="505" customWidth="1"/>
    <col min="14379" max="14379" width="17" style="505" customWidth="1"/>
    <col min="14380" max="14380" width="0" style="505" hidden="1"/>
    <col min="14381" max="14382" width="15.5546875" style="505" customWidth="1"/>
    <col min="14383" max="14383" width="13.6640625" style="505" customWidth="1"/>
    <col min="14384" max="14384" width="9" style="505" customWidth="1"/>
    <col min="14385" max="14385" width="49.88671875" style="505" customWidth="1"/>
    <col min="14386" max="14386" width="0" style="505" hidden="1"/>
    <col min="14387" max="14388" width="15.88671875" style="505" customWidth="1"/>
    <col min="14389" max="14389" width="14.5546875" style="505" customWidth="1"/>
    <col min="14390" max="14390" width="16.33203125" style="505" customWidth="1"/>
    <col min="14391" max="14391" width="18.109375" style="505" customWidth="1"/>
    <col min="14392" max="14392" width="14.109375" style="505" customWidth="1"/>
    <col min="14393" max="14619" width="0" style="505" hidden="1"/>
    <col min="14620" max="14620" width="7.5546875" style="505" customWidth="1"/>
    <col min="14621" max="14621" width="36.77734375" style="505" customWidth="1"/>
    <col min="14622" max="14623" width="0" style="505" hidden="1"/>
    <col min="14624" max="14624" width="16.6640625" style="505" customWidth="1"/>
    <col min="14625" max="14625" width="17.33203125" style="505" customWidth="1"/>
    <col min="14626" max="14626" width="15.5546875" style="505" customWidth="1"/>
    <col min="14627" max="14627" width="0" style="505" hidden="1"/>
    <col min="14628" max="14628" width="16.6640625" style="505" customWidth="1"/>
    <col min="14629" max="14629" width="17.44140625" style="505" customWidth="1"/>
    <col min="14630" max="14631" width="0" style="505" hidden="1"/>
    <col min="14632" max="14634" width="15.33203125" style="505" customWidth="1"/>
    <col min="14635" max="14635" width="17" style="505" customWidth="1"/>
    <col min="14636" max="14636" width="0" style="505" hidden="1"/>
    <col min="14637" max="14638" width="15.5546875" style="505" customWidth="1"/>
    <col min="14639" max="14639" width="13.6640625" style="505" customWidth="1"/>
    <col min="14640" max="14640" width="9" style="505" customWidth="1"/>
    <col min="14641" max="14641" width="49.88671875" style="505" customWidth="1"/>
    <col min="14642" max="14642" width="0" style="505" hidden="1"/>
    <col min="14643" max="14644" width="15.88671875" style="505" customWidth="1"/>
    <col min="14645" max="14645" width="14.5546875" style="505" customWidth="1"/>
    <col min="14646" max="14646" width="16.33203125" style="505" customWidth="1"/>
    <col min="14647" max="14647" width="18.109375" style="505" customWidth="1"/>
    <col min="14648" max="14648" width="14.109375" style="505" customWidth="1"/>
    <col min="14649" max="14875" width="0" style="505" hidden="1"/>
    <col min="14876" max="14876" width="7.5546875" style="505" customWidth="1"/>
    <col min="14877" max="14877" width="36.77734375" style="505" customWidth="1"/>
    <col min="14878" max="14879" width="0" style="505" hidden="1"/>
    <col min="14880" max="14880" width="16.6640625" style="505" customWidth="1"/>
    <col min="14881" max="14881" width="17.33203125" style="505" customWidth="1"/>
    <col min="14882" max="14882" width="15.5546875" style="505" customWidth="1"/>
    <col min="14883" max="14883" width="0" style="505" hidden="1"/>
    <col min="14884" max="14884" width="16.6640625" style="505" customWidth="1"/>
    <col min="14885" max="14885" width="17.44140625" style="505" customWidth="1"/>
    <col min="14886" max="14887" width="0" style="505" hidden="1"/>
    <col min="14888" max="14890" width="15.33203125" style="505" customWidth="1"/>
    <col min="14891" max="14891" width="17" style="505" customWidth="1"/>
    <col min="14892" max="14892" width="0" style="505" hidden="1"/>
    <col min="14893" max="14894" width="15.5546875" style="505" customWidth="1"/>
    <col min="14895" max="14895" width="13.6640625" style="505" customWidth="1"/>
    <col min="14896" max="14896" width="9" style="505" customWidth="1"/>
    <col min="14897" max="14897" width="49.88671875" style="505" customWidth="1"/>
    <col min="14898" max="14898" width="0" style="505" hidden="1"/>
    <col min="14899" max="14900" width="15.88671875" style="505" customWidth="1"/>
    <col min="14901" max="14901" width="14.5546875" style="505" customWidth="1"/>
    <col min="14902" max="14902" width="16.33203125" style="505" customWidth="1"/>
    <col min="14903" max="14903" width="18.109375" style="505" customWidth="1"/>
    <col min="14904" max="14904" width="14.109375" style="505" customWidth="1"/>
    <col min="14905" max="15131" width="0" style="505" hidden="1"/>
    <col min="15132" max="15132" width="7.5546875" style="505" customWidth="1"/>
    <col min="15133" max="15133" width="36.77734375" style="505" customWidth="1"/>
    <col min="15134" max="15135" width="0" style="505" hidden="1"/>
    <col min="15136" max="15136" width="16.6640625" style="505" customWidth="1"/>
    <col min="15137" max="15137" width="17.33203125" style="505" customWidth="1"/>
    <col min="15138" max="15138" width="15.5546875" style="505" customWidth="1"/>
    <col min="15139" max="15139" width="0" style="505" hidden="1"/>
    <col min="15140" max="15140" width="16.6640625" style="505" customWidth="1"/>
    <col min="15141" max="15141" width="17.44140625" style="505" customWidth="1"/>
    <col min="15142" max="15143" width="0" style="505" hidden="1"/>
    <col min="15144" max="15146" width="15.33203125" style="505" customWidth="1"/>
    <col min="15147" max="15147" width="17" style="505" customWidth="1"/>
    <col min="15148" max="15148" width="0" style="505" hidden="1"/>
    <col min="15149" max="15150" width="15.5546875" style="505" customWidth="1"/>
    <col min="15151" max="15151" width="13.6640625" style="505" customWidth="1"/>
    <col min="15152" max="15152" width="9" style="505" customWidth="1"/>
    <col min="15153" max="15153" width="49.88671875" style="505" customWidth="1"/>
    <col min="15154" max="15154" width="0" style="505" hidden="1"/>
    <col min="15155" max="15156" width="15.88671875" style="505" customWidth="1"/>
    <col min="15157" max="15157" width="14.5546875" style="505" customWidth="1"/>
    <col min="15158" max="15158" width="16.33203125" style="505" customWidth="1"/>
    <col min="15159" max="15159" width="18.109375" style="505" customWidth="1"/>
    <col min="15160" max="15160" width="14.109375" style="505" customWidth="1"/>
    <col min="15161" max="15387" width="0" style="505" hidden="1"/>
    <col min="15388" max="15388" width="7.5546875" style="505" customWidth="1"/>
    <col min="15389" max="15389" width="36.77734375" style="505" customWidth="1"/>
    <col min="15390" max="15391" width="0" style="505" hidden="1"/>
    <col min="15392" max="15392" width="16.6640625" style="505" customWidth="1"/>
    <col min="15393" max="15393" width="17.33203125" style="505" customWidth="1"/>
    <col min="15394" max="15394" width="15.5546875" style="505" customWidth="1"/>
    <col min="15395" max="15395" width="0" style="505" hidden="1"/>
    <col min="15396" max="15396" width="16.6640625" style="505" customWidth="1"/>
    <col min="15397" max="15397" width="17.44140625" style="505" customWidth="1"/>
    <col min="15398" max="15399" width="0" style="505" hidden="1"/>
    <col min="15400" max="15402" width="15.33203125" style="505" customWidth="1"/>
    <col min="15403" max="15403" width="17" style="505" customWidth="1"/>
    <col min="15404" max="15404" width="0" style="505" hidden="1"/>
    <col min="15405" max="15406" width="15.5546875" style="505" customWidth="1"/>
    <col min="15407" max="15407" width="13.6640625" style="505" customWidth="1"/>
    <col min="15408" max="15408" width="9" style="505" customWidth="1"/>
    <col min="15409" max="15409" width="49.88671875" style="505" customWidth="1"/>
    <col min="15410" max="15410" width="0" style="505" hidden="1"/>
    <col min="15411" max="15412" width="15.88671875" style="505" customWidth="1"/>
    <col min="15413" max="15413" width="14.5546875" style="505" customWidth="1"/>
    <col min="15414" max="15414" width="16.33203125" style="505" customWidth="1"/>
    <col min="15415" max="15415" width="18.109375" style="505" customWidth="1"/>
    <col min="15416" max="15416" width="14.109375" style="505" customWidth="1"/>
    <col min="15417" max="15643" width="0" style="505" hidden="1"/>
    <col min="15644" max="15644" width="7.5546875" style="505" customWidth="1"/>
    <col min="15645" max="15645" width="36.77734375" style="505" customWidth="1"/>
    <col min="15646" max="15647" width="0" style="505" hidden="1"/>
    <col min="15648" max="15648" width="16.6640625" style="505" customWidth="1"/>
    <col min="15649" max="15649" width="17.33203125" style="505" customWidth="1"/>
    <col min="15650" max="15650" width="15.5546875" style="505" customWidth="1"/>
    <col min="15651" max="15651" width="0" style="505" hidden="1"/>
    <col min="15652" max="15652" width="16.6640625" style="505" customWidth="1"/>
    <col min="15653" max="15653" width="17.44140625" style="505" customWidth="1"/>
    <col min="15654" max="15655" width="0" style="505" hidden="1"/>
    <col min="15656" max="15658" width="15.33203125" style="505" customWidth="1"/>
    <col min="15659" max="15659" width="17" style="505" customWidth="1"/>
    <col min="15660" max="15660" width="0" style="505" hidden="1"/>
    <col min="15661" max="15662" width="15.5546875" style="505" customWidth="1"/>
    <col min="15663" max="15663" width="13.6640625" style="505" customWidth="1"/>
    <col min="15664" max="15664" width="9" style="505" customWidth="1"/>
    <col min="15665" max="15665" width="49.88671875" style="505" customWidth="1"/>
    <col min="15666" max="15666" width="0" style="505" hidden="1"/>
    <col min="15667" max="15668" width="15.88671875" style="505" customWidth="1"/>
    <col min="15669" max="15669" width="14.5546875" style="505" customWidth="1"/>
    <col min="15670" max="15670" width="16.33203125" style="505" customWidth="1"/>
    <col min="15671" max="15671" width="18.109375" style="505" customWidth="1"/>
    <col min="15672" max="15672" width="14.109375" style="505" customWidth="1"/>
    <col min="15673" max="15899" width="0" style="505" hidden="1"/>
    <col min="15900" max="15900" width="7.5546875" style="505" customWidth="1"/>
    <col min="15901" max="15901" width="36.77734375" style="505" customWidth="1"/>
    <col min="15902" max="15903" width="0" style="505" hidden="1"/>
    <col min="15904" max="15904" width="16.6640625" style="505" customWidth="1"/>
    <col min="15905" max="15905" width="17.33203125" style="505" customWidth="1"/>
    <col min="15906" max="15906" width="15.5546875" style="505" customWidth="1"/>
    <col min="15907" max="15907" width="0" style="505" hidden="1"/>
    <col min="15908" max="15908" width="16.6640625" style="505" customWidth="1"/>
    <col min="15909" max="15909" width="17.44140625" style="505" customWidth="1"/>
    <col min="15910" max="15911" width="0" style="505" hidden="1"/>
    <col min="15912" max="15914" width="15.33203125" style="505" customWidth="1"/>
    <col min="15915" max="15915" width="17" style="505" customWidth="1"/>
    <col min="15916" max="15916" width="0" style="505" hidden="1"/>
    <col min="15917" max="15918" width="15.5546875" style="505" customWidth="1"/>
    <col min="15919" max="15919" width="13.6640625" style="505" customWidth="1"/>
    <col min="15920" max="15920" width="9" style="505" customWidth="1"/>
    <col min="15921" max="15921" width="49.88671875" style="505" customWidth="1"/>
    <col min="15922" max="15922" width="0" style="505" hidden="1"/>
    <col min="15923" max="15924" width="15.88671875" style="505" customWidth="1"/>
    <col min="15925" max="15925" width="14.5546875" style="505" customWidth="1"/>
    <col min="15926" max="15926" width="16.33203125" style="505" customWidth="1"/>
    <col min="15927" max="15927" width="18.109375" style="505" customWidth="1"/>
    <col min="15928" max="15928" width="14.109375" style="505" customWidth="1"/>
    <col min="15929" max="16384" width="0" style="505" hidden="1"/>
  </cols>
  <sheetData>
    <row r="1" spans="1:40" ht="24.75" customHeight="1">
      <c r="A1" s="838" t="s">
        <v>207</v>
      </c>
      <c r="B1" s="838"/>
      <c r="C1" s="838"/>
      <c r="D1" s="838"/>
      <c r="E1" s="838"/>
      <c r="F1" s="838"/>
      <c r="G1" s="838"/>
      <c r="H1" s="838"/>
      <c r="I1" s="838"/>
      <c r="J1" s="838"/>
      <c r="K1" s="838"/>
      <c r="L1" s="838"/>
      <c r="M1" s="838"/>
      <c r="N1" s="838"/>
      <c r="O1" s="503"/>
      <c r="P1" s="504"/>
      <c r="Q1" s="504"/>
      <c r="R1" s="739"/>
      <c r="S1" s="739"/>
      <c r="T1" s="739"/>
      <c r="U1" s="739"/>
      <c r="V1" s="418"/>
      <c r="W1" s="582"/>
      <c r="X1" s="582"/>
      <c r="Y1" s="418"/>
      <c r="Z1" s="418"/>
      <c r="AA1" s="582"/>
      <c r="AB1" s="502"/>
      <c r="AC1" s="502"/>
      <c r="AD1" s="503"/>
      <c r="AE1" s="418"/>
      <c r="AF1" s="582"/>
      <c r="AG1" s="582"/>
      <c r="AH1" s="418"/>
      <c r="AI1" s="418"/>
      <c r="AJ1" s="502"/>
      <c r="AK1" s="502"/>
      <c r="AL1" s="502"/>
      <c r="AM1" s="592"/>
      <c r="AN1" s="592"/>
    </row>
    <row r="2" spans="1:40" ht="24.75" customHeight="1">
      <c r="A2" s="593" t="s">
        <v>225</v>
      </c>
      <c r="B2" s="507"/>
      <c r="C2" s="506"/>
      <c r="D2" s="506"/>
      <c r="E2" s="506"/>
      <c r="F2" s="506"/>
      <c r="G2" s="508"/>
      <c r="H2" s="660"/>
      <c r="I2" s="509"/>
      <c r="J2" s="510"/>
      <c r="K2" s="510"/>
      <c r="L2" s="511"/>
      <c r="M2" s="511"/>
      <c r="N2" s="510"/>
      <c r="O2" s="510"/>
      <c r="P2" s="512"/>
      <c r="Q2" s="512"/>
      <c r="R2" s="740"/>
      <c r="S2" s="740"/>
      <c r="T2" s="740"/>
      <c r="U2" s="740"/>
      <c r="V2" s="419"/>
      <c r="W2" s="583"/>
      <c r="X2" s="583"/>
      <c r="Y2" s="419"/>
      <c r="Z2" s="419"/>
      <c r="AA2" s="583"/>
      <c r="AB2" s="593"/>
      <c r="AC2" s="506"/>
      <c r="AD2" s="510"/>
      <c r="AE2" s="419"/>
      <c r="AF2" s="583"/>
      <c r="AG2" s="583"/>
      <c r="AH2" s="419"/>
      <c r="AI2" s="419"/>
      <c r="AJ2" s="506"/>
      <c r="AK2" s="506"/>
      <c r="AL2" s="506"/>
      <c r="AM2" s="594"/>
      <c r="AN2" s="594"/>
    </row>
    <row r="3" spans="1:40" ht="26.25" customHeight="1" thickBot="1">
      <c r="A3" s="581" t="s">
        <v>43</v>
      </c>
      <c r="B3" s="514"/>
      <c r="C3" s="513"/>
      <c r="D3" s="514"/>
      <c r="E3" s="514"/>
      <c r="F3" s="514"/>
      <c r="G3" s="515"/>
      <c r="H3" s="661"/>
      <c r="I3" s="516"/>
      <c r="J3" s="517"/>
      <c r="K3" s="517"/>
      <c r="L3" s="518"/>
      <c r="M3" s="518"/>
      <c r="N3" s="517"/>
      <c r="O3" s="517"/>
      <c r="P3" s="516"/>
      <c r="Q3" s="516"/>
      <c r="R3" s="517"/>
      <c r="S3" s="517"/>
      <c r="T3" s="517"/>
      <c r="U3" s="517"/>
      <c r="V3" s="421" t="s">
        <v>189</v>
      </c>
      <c r="W3" s="422" t="s">
        <v>190</v>
      </c>
      <c r="X3" s="600">
        <v>0.03</v>
      </c>
      <c r="Y3" s="423"/>
      <c r="Z3" s="420"/>
      <c r="AA3" s="420"/>
      <c r="AB3" s="598">
        <v>0.05</v>
      </c>
      <c r="AC3" s="598">
        <v>0.1</v>
      </c>
      <c r="AD3" s="517"/>
      <c r="AE3" s="421" t="s">
        <v>189</v>
      </c>
      <c r="AF3" s="422" t="s">
        <v>190</v>
      </c>
      <c r="AG3" s="600">
        <v>0.03</v>
      </c>
      <c r="AH3" s="420"/>
      <c r="AI3" s="620">
        <v>0.25</v>
      </c>
      <c r="AJ3" s="595"/>
      <c r="AK3" s="596"/>
      <c r="AL3" s="596"/>
      <c r="AM3" s="597"/>
      <c r="AN3" s="599"/>
    </row>
    <row r="4" spans="1:40" ht="26.4" customHeight="1">
      <c r="A4" s="522"/>
      <c r="B4" s="514"/>
      <c r="C4" s="522"/>
      <c r="D4" s="514"/>
      <c r="E4" s="514"/>
      <c r="F4" s="514"/>
      <c r="G4" s="515"/>
      <c r="H4" s="661"/>
      <c r="I4" s="516"/>
      <c r="J4" s="517"/>
      <c r="K4" s="517"/>
      <c r="L4" s="515"/>
      <c r="M4" s="515"/>
      <c r="N4" s="517"/>
      <c r="O4" s="517"/>
      <c r="P4" s="516"/>
      <c r="Q4" s="839" t="s">
        <v>214</v>
      </c>
      <c r="R4" s="840"/>
      <c r="S4" s="840"/>
      <c r="T4" s="840"/>
      <c r="U4" s="841"/>
      <c r="V4" s="845" t="s">
        <v>215</v>
      </c>
      <c r="W4" s="845"/>
      <c r="X4" s="845"/>
      <c r="Y4" s="845"/>
      <c r="Z4" s="845"/>
      <c r="AA4" s="845"/>
      <c r="AB4" s="845"/>
      <c r="AC4" s="845"/>
      <c r="AD4" s="846"/>
      <c r="AE4" s="847" t="s">
        <v>216</v>
      </c>
      <c r="AF4" s="848"/>
      <c r="AG4" s="848"/>
      <c r="AH4" s="848"/>
      <c r="AI4" s="849"/>
      <c r="AJ4" s="595"/>
      <c r="AK4" s="596"/>
      <c r="AL4" s="596"/>
      <c r="AM4" s="597"/>
      <c r="AN4" s="599"/>
    </row>
    <row r="5" spans="1:40" ht="24.6" customHeight="1" thickBot="1">
      <c r="A5" s="523" t="s">
        <v>189</v>
      </c>
      <c r="B5" s="523" t="s">
        <v>189</v>
      </c>
      <c r="C5" s="523" t="s">
        <v>189</v>
      </c>
      <c r="D5" s="523" t="s">
        <v>189</v>
      </c>
      <c r="E5" s="523" t="s">
        <v>189</v>
      </c>
      <c r="F5" s="523" t="s">
        <v>190</v>
      </c>
      <c r="G5" s="523" t="s">
        <v>189</v>
      </c>
      <c r="H5" s="661"/>
      <c r="I5" s="523" t="s">
        <v>189</v>
      </c>
      <c r="J5" s="523" t="s">
        <v>189</v>
      </c>
      <c r="K5" s="523"/>
      <c r="L5" s="524" t="s">
        <v>190</v>
      </c>
      <c r="M5" s="525">
        <v>0.03</v>
      </c>
      <c r="N5" s="517"/>
      <c r="O5" s="517"/>
      <c r="P5" s="516">
        <v>12</v>
      </c>
      <c r="Q5" s="842"/>
      <c r="R5" s="843"/>
      <c r="S5" s="843"/>
      <c r="T5" s="843"/>
      <c r="U5" s="844"/>
      <c r="V5" s="836" t="s">
        <v>217</v>
      </c>
      <c r="W5" s="836"/>
      <c r="X5" s="836"/>
      <c r="Y5" s="836"/>
      <c r="Z5" s="836"/>
      <c r="AA5" s="836"/>
      <c r="AB5" s="836"/>
      <c r="AC5" s="836"/>
      <c r="AD5" s="837"/>
      <c r="AE5" s="833" t="s">
        <v>145</v>
      </c>
      <c r="AF5" s="834"/>
      <c r="AG5" s="834"/>
      <c r="AH5" s="834"/>
      <c r="AI5" s="835"/>
      <c r="AJ5" s="595"/>
      <c r="AK5" s="596"/>
      <c r="AL5" s="596"/>
      <c r="AM5" s="597"/>
      <c r="AN5" s="599"/>
    </row>
    <row r="6" spans="1:40" s="531" customFormat="1" ht="98.4" customHeight="1" thickBot="1">
      <c r="A6" s="714" t="s">
        <v>0</v>
      </c>
      <c r="B6" s="715" t="s">
        <v>182</v>
      </c>
      <c r="C6" s="714" t="s">
        <v>39</v>
      </c>
      <c r="D6" s="716" t="s">
        <v>1</v>
      </c>
      <c r="E6" s="717" t="s">
        <v>6</v>
      </c>
      <c r="F6" s="718" t="s">
        <v>44</v>
      </c>
      <c r="G6" s="719" t="s">
        <v>171</v>
      </c>
      <c r="H6" s="720" t="s">
        <v>206</v>
      </c>
      <c r="I6" s="721" t="s">
        <v>36</v>
      </c>
      <c r="J6" s="713" t="s">
        <v>184</v>
      </c>
      <c r="K6" s="713" t="s">
        <v>213</v>
      </c>
      <c r="L6" s="586" t="s">
        <v>193</v>
      </c>
      <c r="M6" s="586" t="s">
        <v>188</v>
      </c>
      <c r="N6" s="722" t="s">
        <v>140</v>
      </c>
      <c r="O6" s="526" t="s">
        <v>195</v>
      </c>
      <c r="P6" s="723" t="s">
        <v>183</v>
      </c>
      <c r="Q6" s="726" t="s">
        <v>222</v>
      </c>
      <c r="R6" s="741" t="s">
        <v>208</v>
      </c>
      <c r="S6" s="742" t="s">
        <v>209</v>
      </c>
      <c r="T6" s="741" t="s">
        <v>210</v>
      </c>
      <c r="U6" s="743" t="s">
        <v>211</v>
      </c>
      <c r="V6" s="617" t="s">
        <v>194</v>
      </c>
      <c r="W6" s="589" t="s">
        <v>192</v>
      </c>
      <c r="X6" s="589" t="s">
        <v>191</v>
      </c>
      <c r="Y6" s="617" t="s">
        <v>134</v>
      </c>
      <c r="Z6" s="618" t="s">
        <v>135</v>
      </c>
      <c r="AA6" s="618" t="s">
        <v>136</v>
      </c>
      <c r="AB6" s="527" t="s">
        <v>137</v>
      </c>
      <c r="AC6" s="527" t="s">
        <v>138</v>
      </c>
      <c r="AD6" s="416" t="s">
        <v>196</v>
      </c>
      <c r="AE6" s="619" t="s">
        <v>145</v>
      </c>
      <c r="AF6" s="589" t="s">
        <v>199</v>
      </c>
      <c r="AG6" s="589" t="s">
        <v>200</v>
      </c>
      <c r="AH6" s="617" t="s">
        <v>139</v>
      </c>
      <c r="AI6" s="417" t="s">
        <v>197</v>
      </c>
      <c r="AJ6" s="528" t="s">
        <v>106</v>
      </c>
      <c r="AK6" s="529" t="s">
        <v>38</v>
      </c>
      <c r="AL6" s="530" t="s">
        <v>42</v>
      </c>
      <c r="AM6" s="530" t="s">
        <v>7</v>
      </c>
      <c r="AN6" s="673" t="s">
        <v>223</v>
      </c>
    </row>
    <row r="7" spans="1:40" s="565" customFormat="1" ht="27" customHeight="1">
      <c r="A7" s="609">
        <v>1</v>
      </c>
      <c r="B7" s="724">
        <v>45597</v>
      </c>
      <c r="C7" s="610">
        <v>120000069322</v>
      </c>
      <c r="D7" s="731" t="s">
        <v>227</v>
      </c>
      <c r="E7" s="611" t="s">
        <v>70</v>
      </c>
      <c r="F7" s="611" t="s">
        <v>45</v>
      </c>
      <c r="G7" s="612">
        <v>24</v>
      </c>
      <c r="H7" s="725">
        <v>0.04</v>
      </c>
      <c r="I7" s="615">
        <v>45778</v>
      </c>
      <c r="J7" s="613">
        <f>75000/12</f>
        <v>6250</v>
      </c>
      <c r="K7" s="613">
        <v>0</v>
      </c>
      <c r="L7" s="759" t="s">
        <v>186</v>
      </c>
      <c r="M7" s="760">
        <f>IF(Table1351452010[[#This Row],[หัก ณ ที่จ่าย
(ค่าบริการ)]]="มี",Table1351452010[[#This Row],[ค่าบริการเฉลี่ยต่อเดือน]]*3%,0)</f>
        <v>187.5</v>
      </c>
      <c r="N7" s="532">
        <f>Table1351452010[[#This Row],[ค่าบริการเฉลี่ยต่อเดือน]]-Table1351452010[[#This Row],[มูลค่าหัก 3%]]</f>
        <v>6062.5</v>
      </c>
      <c r="O7"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5820</v>
      </c>
      <c r="P7" s="727">
        <f>Table1351452010[[#This Row],[ระยะเวลาสัญญา
(เดือน)]]/$P$5</f>
        <v>2</v>
      </c>
      <c r="Q7" s="729">
        <f>Table1351452010[[#This Row],[Total
รายการเบิก
คอมขาย
(1)]]/2</f>
        <v>2910</v>
      </c>
      <c r="R7" s="744">
        <v>2910</v>
      </c>
      <c r="S7" s="744">
        <v>0</v>
      </c>
      <c r="T7" s="744">
        <v>0</v>
      </c>
      <c r="U7" s="744">
        <v>0</v>
      </c>
      <c r="V7" s="614">
        <v>10000</v>
      </c>
      <c r="W7" s="590" t="s">
        <v>186</v>
      </c>
      <c r="X7" s="591">
        <f>IF(Table1351452010[[#This Row],[หัก ณ ที่จ่าย
(ค่าติตั้ง)]]="มี",Table1351452010[[#This Row],[ค่าเชื่อมสัญญาณ/
ค่าติดตั้ง/
ค่าขายอุปกรณ์]]*$X$3,0)</f>
        <v>300</v>
      </c>
      <c r="Y7" s="396">
        <f>Table1351452010[[#This Row],[ค่าเชื่อมสัญญาณ/
ค่าติดตั้ง/
ค่าขายอุปกรณ์]]-Table1351452010[[#This Row],[มูลค่าหัก 3%
(ค่าติดตั้ง)]]</f>
        <v>9700</v>
      </c>
      <c r="Z7" s="331">
        <v>6430</v>
      </c>
      <c r="AA7" s="657">
        <f>Table1351452010[[#This Row],[ค่าเชื่อมสัญญาณ/
ค่าติดตั้ง/
ค่าขายอุปกรณ์
(เรียกเก็บสุทธิ)]]-Table1351452010[[#This Row],[ต้นทุน]]</f>
        <v>3270</v>
      </c>
      <c r="AB7" s="534" t="str">
        <f>IF(Table1351452010[[#This Row],[ส่วนต่างกำไร]]&lt;(Table1351452010[[#This Row],[ต้นทุน]]*5%),Table1351452010[[#This Row],[ค่าเชื่อมสัญญาณ/
ค่าติดตั้ง/
ค่าขายอุปกรณ์
(เรียกเก็บสุทธิ)]]*$AB$3,"0")</f>
        <v>0</v>
      </c>
      <c r="AC7" s="534">
        <f>IF(Table1351452010[[#This Row],[ส่วนต่างกำไร]]&gt;=(Table1351452010[[#This Row],[ต้นทุน]]*5%),Table1351452010[[#This Row],[ค่าเชื่อมสัญญาณ/
ค่าติดตั้ง/
ค่าขายอุปกรณ์
(เรียกเก็บสุทธิ)]]*$AC$3,"0")</f>
        <v>970</v>
      </c>
      <c r="AD7" s="604">
        <f>SUM(Table1351452010[[#This Row],[คอมฯ
 5%]:[คอมฯ
10%]])</f>
        <v>970</v>
      </c>
      <c r="AE7" s="616">
        <v>0</v>
      </c>
      <c r="AF7" s="590"/>
      <c r="AG7" s="608">
        <f>IF(Table1351452010[[#This Row],[หัก ณ ที่จ่าย
(ค่าเชื่อมสัญญาณ)]]="มี",Table1351452010[[#This Row],[ค่าเชื่อมสัญญาณ]]*$AG$3,0)</f>
        <v>0</v>
      </c>
      <c r="AH7" s="397">
        <f>Table1351452010[[#This Row],[ค่าเชื่อมสัญญาณ]]-Table1351452010[[#This Row],[มูลค่าหัก 3%
(ค่าเชื่อมสัญญาณ)]]</f>
        <v>0</v>
      </c>
      <c r="AI7" s="402">
        <f>Table1351452010[[#This Row],[ค่าเชื่อมสัญญาณ
(เรียกเก็บสุทธิ)]]*$AI$3</f>
        <v>0</v>
      </c>
      <c r="AJ7" s="535">
        <f>Table1351452010[[#This Row],[ปีที่1]]+Table1351452010[[#This Row],[Total
ค่าเชื่มสัญญาณ/ค่าติดตั้ง/
ค่าขายอุปกรณ์
(2)]]+Table1351452010[[#This Row],[Total 
คอมฯค่าเชื่อมสัญญาณ
(3)]]</f>
        <v>3880</v>
      </c>
      <c r="AK7" s="536" t="s">
        <v>228</v>
      </c>
      <c r="AL7" s="820" t="s">
        <v>230</v>
      </c>
      <c r="AM7" s="537" t="s">
        <v>231</v>
      </c>
      <c r="AN7" s="537" t="s">
        <v>218</v>
      </c>
    </row>
    <row r="8" spans="1:40" s="565" customFormat="1" ht="27" customHeight="1">
      <c r="A8" s="712" t="s">
        <v>224</v>
      </c>
      <c r="B8" s="800"/>
      <c r="C8" s="539"/>
      <c r="D8" s="732" t="s">
        <v>233</v>
      </c>
      <c r="E8" s="540"/>
      <c r="F8" s="540"/>
      <c r="G8" s="566"/>
      <c r="H8" s="662"/>
      <c r="I8" s="542"/>
      <c r="J8" s="761"/>
      <c r="K8" s="761"/>
      <c r="L8" s="802"/>
      <c r="M8" s="801"/>
      <c r="N8" s="544"/>
      <c r="O8" s="545"/>
      <c r="P8" s="546"/>
      <c r="Q8" s="804" t="s">
        <v>232</v>
      </c>
      <c r="R8" s="757" t="s">
        <v>236</v>
      </c>
      <c r="S8" s="757"/>
      <c r="T8" s="757"/>
      <c r="U8" s="757"/>
      <c r="V8" s="391"/>
      <c r="W8" s="408"/>
      <c r="X8" s="410"/>
      <c r="Y8" s="389"/>
      <c r="Z8" s="392"/>
      <c r="AA8" s="658">
        <f t="shared" ref="AA8" si="0">AA7/Z7</f>
        <v>0.50855365474339032</v>
      </c>
      <c r="AB8" s="584"/>
      <c r="AC8" s="584"/>
      <c r="AD8" s="605"/>
      <c r="AE8" s="405"/>
      <c r="AF8" s="408"/>
      <c r="AG8" s="408"/>
      <c r="AH8" s="393"/>
      <c r="AI8" s="403"/>
      <c r="AJ8" s="547"/>
      <c r="AK8" s="548" t="s">
        <v>229</v>
      </c>
      <c r="AL8" s="548"/>
      <c r="AM8" s="549"/>
      <c r="AN8" s="549" t="s">
        <v>237</v>
      </c>
    </row>
    <row r="9" spans="1:40" s="565" customFormat="1" ht="27" customHeight="1">
      <c r="A9" s="538">
        <v>9.4000000000000092</v>
      </c>
      <c r="B9" s="541"/>
      <c r="C9" s="538"/>
      <c r="D9" s="733" t="s">
        <v>234</v>
      </c>
      <c r="E9" s="550"/>
      <c r="F9" s="550"/>
      <c r="G9" s="566"/>
      <c r="H9" s="662"/>
      <c r="I9" s="542"/>
      <c r="J9" s="540"/>
      <c r="K9" s="540"/>
      <c r="L9" s="543"/>
      <c r="M9" s="803"/>
      <c r="N9" s="540"/>
      <c r="O9" s="551"/>
      <c r="P9" s="552"/>
      <c r="Q9" s="675"/>
      <c r="R9" s="748"/>
      <c r="S9" s="749"/>
      <c r="T9" s="749"/>
      <c r="U9" s="750"/>
      <c r="V9" s="391"/>
      <c r="W9" s="408"/>
      <c r="X9" s="410"/>
      <c r="Y9" s="389"/>
      <c r="Z9" s="392"/>
      <c r="AA9" s="392"/>
      <c r="AB9" s="584"/>
      <c r="AC9" s="584"/>
      <c r="AD9" s="606"/>
      <c r="AE9" s="406"/>
      <c r="AF9" s="408"/>
      <c r="AG9" s="408"/>
      <c r="AH9" s="393"/>
      <c r="AI9" s="403"/>
      <c r="AJ9" s="547"/>
      <c r="AK9" s="548"/>
      <c r="AL9" s="548"/>
      <c r="AM9" s="549"/>
      <c r="AN9" s="549"/>
    </row>
    <row r="10" spans="1:40" s="565" customFormat="1" ht="27" customHeight="1" thickBot="1">
      <c r="A10" s="553">
        <v>10.6071428571429</v>
      </c>
      <c r="B10" s="555"/>
      <c r="C10" s="553"/>
      <c r="D10" s="734" t="s">
        <v>235</v>
      </c>
      <c r="E10" s="554"/>
      <c r="F10" s="554"/>
      <c r="G10" s="556"/>
      <c r="H10" s="663"/>
      <c r="I10" s="557"/>
      <c r="J10" s="558"/>
      <c r="K10" s="558"/>
      <c r="L10" s="559"/>
      <c r="M10" s="559"/>
      <c r="N10" s="558"/>
      <c r="O10" s="560"/>
      <c r="P10" s="561"/>
      <c r="Q10" s="676"/>
      <c r="R10" s="751"/>
      <c r="S10" s="752"/>
      <c r="T10" s="752"/>
      <c r="U10" s="753"/>
      <c r="V10" s="394"/>
      <c r="W10" s="409"/>
      <c r="X10" s="411"/>
      <c r="Y10" s="390"/>
      <c r="Z10" s="388"/>
      <c r="AA10" s="659"/>
      <c r="AB10" s="585"/>
      <c r="AC10" s="585"/>
      <c r="AD10" s="607"/>
      <c r="AE10" s="407"/>
      <c r="AF10" s="409"/>
      <c r="AG10" s="409"/>
      <c r="AH10" s="395"/>
      <c r="AI10" s="404"/>
      <c r="AJ10" s="562"/>
      <c r="AK10" s="563"/>
      <c r="AL10" s="563"/>
      <c r="AM10" s="564"/>
      <c r="AN10" s="564"/>
    </row>
    <row r="11" spans="1:40" s="565" customFormat="1" ht="27" hidden="1" customHeight="1">
      <c r="A11" s="609"/>
      <c r="B11" s="724"/>
      <c r="C11" s="610"/>
      <c r="D11" s="731"/>
      <c r="E11" s="611"/>
      <c r="F11" s="611"/>
      <c r="G11" s="612"/>
      <c r="H11" s="725"/>
      <c r="I11" s="615"/>
      <c r="J11" s="613"/>
      <c r="K11" s="613">
        <v>0</v>
      </c>
      <c r="L11" s="587" t="s">
        <v>186</v>
      </c>
      <c r="M11" s="588">
        <f>IF(Table1351452010[[#This Row],[หัก ณ ที่จ่าย
(ค่าบริการ)]]="มี",Table1351452010[[#This Row],[ค่าบริการเฉลี่ยต่อเดือน]]*3%,0)</f>
        <v>0</v>
      </c>
      <c r="N11" s="532">
        <f>Table1351452010[[#This Row],[ค่าบริการเฉลี่ยต่อเดือน]]-Table1351452010[[#This Row],[มูลค่าหัก 3%]]</f>
        <v>0</v>
      </c>
      <c r="O11" s="533">
        <f>Table1351452010[[#This Row],[ค่าบริการเฉลียรายเดือนตาม Package
(เรียกเก็บสุทธิ)]]</f>
        <v>0</v>
      </c>
      <c r="P11" s="727">
        <v>0</v>
      </c>
      <c r="Q11" s="729">
        <f>Table1351452010[[#This Row],[Total
รายการเบิก
คอมขาย
(1)]]</f>
        <v>0</v>
      </c>
      <c r="R11" s="744">
        <v>0</v>
      </c>
      <c r="S11" s="744">
        <v>0</v>
      </c>
      <c r="T11" s="730">
        <v>0</v>
      </c>
      <c r="U11" s="754">
        <v>0</v>
      </c>
      <c r="V11" s="614"/>
      <c r="W11" s="590"/>
      <c r="X11" s="591">
        <f>IF(Table1351452010[[#This Row],[หัก ณ ที่จ่าย
(ค่าติตั้ง)]]="มี",Table1351452010[[#This Row],[ค่าเชื่อมสัญญาณ/
ค่าติดตั้ง/
ค่าขายอุปกรณ์]]*$X$3,0)</f>
        <v>0</v>
      </c>
      <c r="Y11" s="396">
        <f>Table1351452010[[#This Row],[ค่าเชื่อมสัญญาณ/
ค่าติดตั้ง/
ค่าขายอุปกรณ์]]-Table1351452010[[#This Row],[มูลค่าหัก 3%
(ค่าติดตั้ง)]]</f>
        <v>0</v>
      </c>
      <c r="Z11" s="331"/>
      <c r="AA11" s="657">
        <f>Table1351452010[[#This Row],[ค่าเชื่อมสัญญาณ/
ค่าติดตั้ง/
ค่าขายอุปกรณ์
(เรียกเก็บสุทธิ)]]-Table1351452010[[#This Row],[ต้นทุน]]</f>
        <v>0</v>
      </c>
      <c r="AB11" s="534" t="str">
        <f>IF(Table1351452010[[#This Row],[ส่วนต่างกำไร]]&lt;(Table1351452010[[#This Row],[ต้นทุน]]*5%),Table1351452010[[#This Row],[ค่าเชื่อมสัญญาณ/
ค่าติดตั้ง/
ค่าขายอุปกรณ์
(เรียกเก็บสุทธิ)]]*$AB$3,"0")</f>
        <v>0</v>
      </c>
      <c r="AC11" s="534">
        <f>IF(Table1351452010[[#This Row],[ส่วนต่างกำไร]]&gt;=(Table1351452010[[#This Row],[ต้นทุน]]*5%),Table1351452010[[#This Row],[ค่าเชื่อมสัญญาณ/
ค่าติดตั้ง/
ค่าขายอุปกรณ์
(เรียกเก็บสุทธิ)]]*$AC$3,"0")</f>
        <v>0</v>
      </c>
      <c r="AD11" s="604">
        <f>SUM(Table1351452010[[#This Row],[คอมฯ
 5%]:[คอมฯ
10%]])</f>
        <v>0</v>
      </c>
      <c r="AE11" s="616">
        <v>0</v>
      </c>
      <c r="AF11" s="590"/>
      <c r="AG11" s="608">
        <f>IF(Table1351452010[[#This Row],[หัก ณ ที่จ่าย
(ค่าเชื่อมสัญญาณ)]]="มี",Table1351452010[[#This Row],[ค่าเชื่อมสัญญาณ]]*$AG$3,0)</f>
        <v>0</v>
      </c>
      <c r="AH11" s="397">
        <f>Table1351452010[[#This Row],[ค่าเชื่อมสัญญาณ]]-Table1351452010[[#This Row],[มูลค่าหัก 3%
(ค่าเชื่อมสัญญาณ)]]</f>
        <v>0</v>
      </c>
      <c r="AI11" s="402">
        <f>Table1351452010[[#This Row],[ค่าเชื่อมสัญญาณ
(เรียกเก็บสุทธิ)]]*$AI$4</f>
        <v>0</v>
      </c>
      <c r="AJ11" s="535">
        <f>Table1351452010[[#This Row],[ปีที่1]]+Table1351452010[[#This Row],[Total
ค่าเชื่มสัญญาณ/ค่าติดตั้ง/
ค่าขายอุปกรณ์
(2)]]+Table1351452010[[#This Row],[Total 
คอมฯค่าเชื่อมสัญญาณ
(3)]]</f>
        <v>0</v>
      </c>
      <c r="AK11" s="536"/>
      <c r="AL11" s="536"/>
      <c r="AM11" s="537"/>
      <c r="AN11" s="537"/>
    </row>
    <row r="12" spans="1:40" s="565" customFormat="1" ht="27" hidden="1" customHeight="1">
      <c r="A12" s="712"/>
      <c r="B12" s="670"/>
      <c r="C12" s="539"/>
      <c r="D12" s="732"/>
      <c r="E12" s="540"/>
      <c r="F12" s="540"/>
      <c r="G12" s="819"/>
      <c r="H12" s="662"/>
      <c r="I12" s="542"/>
      <c r="J12" s="540"/>
      <c r="K12" s="540"/>
      <c r="L12" s="543"/>
      <c r="M12" s="543"/>
      <c r="N12" s="544"/>
      <c r="O12" s="545"/>
      <c r="P12" s="546"/>
      <c r="Q12" s="804"/>
      <c r="R12" s="745"/>
      <c r="S12" s="745"/>
      <c r="T12" s="746"/>
      <c r="U12" s="747"/>
      <c r="V12" s="391"/>
      <c r="W12" s="408"/>
      <c r="X12" s="410"/>
      <c r="Y12" s="389"/>
      <c r="Z12" s="392"/>
      <c r="AA12" s="658" t="e">
        <f t="shared" ref="AA12" si="1">AA11/Z11</f>
        <v>#DIV/0!</v>
      </c>
      <c r="AB12" s="584"/>
      <c r="AC12" s="584"/>
      <c r="AD12" s="605"/>
      <c r="AE12" s="405"/>
      <c r="AF12" s="408"/>
      <c r="AG12" s="408"/>
      <c r="AH12" s="393"/>
      <c r="AI12" s="403"/>
      <c r="AJ12" s="547"/>
      <c r="AK12" s="548"/>
      <c r="AL12" s="548"/>
      <c r="AM12" s="549"/>
      <c r="AN12" s="549"/>
    </row>
    <row r="13" spans="1:40" s="565" customFormat="1" ht="32.4" hidden="1" customHeight="1">
      <c r="A13" s="538"/>
      <c r="B13" s="541"/>
      <c r="C13" s="538"/>
      <c r="D13" s="735"/>
      <c r="E13" s="550"/>
      <c r="F13" s="550"/>
      <c r="G13" s="566"/>
      <c r="H13" s="662"/>
      <c r="I13" s="542"/>
      <c r="J13" s="540"/>
      <c r="K13" s="540"/>
      <c r="L13" s="543"/>
      <c r="M13" s="543"/>
      <c r="N13" s="540"/>
      <c r="O13" s="551"/>
      <c r="P13" s="552"/>
      <c r="Q13" s="675"/>
      <c r="R13" s="748"/>
      <c r="S13" s="749"/>
      <c r="T13" s="749"/>
      <c r="U13" s="750"/>
      <c r="V13" s="391"/>
      <c r="W13" s="408"/>
      <c r="X13" s="410"/>
      <c r="Y13" s="389"/>
      <c r="Z13" s="392"/>
      <c r="AA13" s="392"/>
      <c r="AB13" s="584"/>
      <c r="AC13" s="584"/>
      <c r="AD13" s="606"/>
      <c r="AE13" s="406"/>
      <c r="AF13" s="408"/>
      <c r="AG13" s="408"/>
      <c r="AH13" s="393"/>
      <c r="AI13" s="403"/>
      <c r="AJ13" s="547"/>
      <c r="AK13" s="548"/>
      <c r="AL13" s="548"/>
      <c r="AM13" s="549"/>
      <c r="AN13" s="549"/>
    </row>
    <row r="14" spans="1:40" s="565" customFormat="1" ht="27" hidden="1" customHeight="1" thickBot="1">
      <c r="A14" s="553"/>
      <c r="B14" s="555"/>
      <c r="C14" s="553"/>
      <c r="D14" s="734"/>
      <c r="E14" s="554"/>
      <c r="F14" s="554"/>
      <c r="G14" s="556"/>
      <c r="H14" s="663"/>
      <c r="I14" s="557"/>
      <c r="J14" s="558"/>
      <c r="K14" s="558"/>
      <c r="L14" s="559"/>
      <c r="M14" s="559"/>
      <c r="N14" s="558"/>
      <c r="O14" s="560"/>
      <c r="P14" s="561"/>
      <c r="Q14" s="676"/>
      <c r="R14" s="751"/>
      <c r="S14" s="752"/>
      <c r="T14" s="752"/>
      <c r="U14" s="753"/>
      <c r="V14" s="394"/>
      <c r="W14" s="409"/>
      <c r="X14" s="411"/>
      <c r="Y14" s="390"/>
      <c r="Z14" s="388"/>
      <c r="AA14" s="659"/>
      <c r="AB14" s="585"/>
      <c r="AC14" s="585"/>
      <c r="AD14" s="607"/>
      <c r="AE14" s="407"/>
      <c r="AF14" s="409"/>
      <c r="AG14" s="409"/>
      <c r="AH14" s="395"/>
      <c r="AI14" s="404"/>
      <c r="AJ14" s="562"/>
      <c r="AK14" s="563"/>
      <c r="AL14" s="563"/>
      <c r="AM14" s="564"/>
      <c r="AN14" s="564"/>
    </row>
    <row r="15" spans="1:40" s="565" customFormat="1" ht="27" hidden="1" customHeight="1">
      <c r="A15" s="609"/>
      <c r="B15" s="724"/>
      <c r="C15" s="610"/>
      <c r="D15" s="731"/>
      <c r="E15" s="611"/>
      <c r="F15" s="611"/>
      <c r="G15" s="612"/>
      <c r="H15" s="725"/>
      <c r="I15" s="615"/>
      <c r="J15" s="613"/>
      <c r="K15" s="613">
        <v>0</v>
      </c>
      <c r="L15" s="587" t="s">
        <v>187</v>
      </c>
      <c r="M15" s="588">
        <f>IF(Table1351452010[[#This Row],[หัก ณ ที่จ่าย
(ค่าบริการ)]]="มี",Table1351452010[[#This Row],[ค่าบริการเฉลี่ยต่อเดือน]]*3%,0)</f>
        <v>0</v>
      </c>
      <c r="N15" s="532">
        <f>Table1351452010[[#This Row],[ค่าบริการเฉลี่ยต่อเดือน]]-Table1351452010[[#This Row],[มูลค่าหัก 3%]]</f>
        <v>0</v>
      </c>
      <c r="O15" s="533">
        <f>Table1351452010[[#This Row],[ค่าบริการเฉลียรายเดือนตาม Package
(เรียกเก็บสุทธิ)]]</f>
        <v>0</v>
      </c>
      <c r="P15" s="727">
        <f>Table1351452010[[#This Row],[ระยะเวลาสัญญา
(เดือน)]]/$P$5</f>
        <v>0</v>
      </c>
      <c r="Q15" s="729">
        <f>Table1351452010[[#This Row],[Total
รายการเบิก
คอมขาย
(1)]]</f>
        <v>0</v>
      </c>
      <c r="R15" s="744">
        <v>0</v>
      </c>
      <c r="S15" s="730">
        <v>0</v>
      </c>
      <c r="T15" s="730">
        <v>0</v>
      </c>
      <c r="U15" s="754">
        <v>0</v>
      </c>
      <c r="V15" s="614">
        <v>0</v>
      </c>
      <c r="W15" s="590"/>
      <c r="X15" s="591">
        <f>IF(Table1351452010[[#This Row],[หัก ณ ที่จ่าย
(ค่าติตั้ง)]]="มี",Table1351452010[[#This Row],[ค่าเชื่อมสัญญาณ/
ค่าติดตั้ง/
ค่าขายอุปกรณ์]]*$X$3,0)</f>
        <v>0</v>
      </c>
      <c r="Y15" s="396">
        <f>Table1351452010[[#This Row],[ค่าเชื่อมสัญญาณ/
ค่าติดตั้ง/
ค่าขายอุปกรณ์]]-Table1351452010[[#This Row],[มูลค่าหัก 3%
(ค่าติดตั้ง)]]</f>
        <v>0</v>
      </c>
      <c r="Z15" s="331">
        <v>0</v>
      </c>
      <c r="AA15" s="657">
        <f>Table1351452010[[#This Row],[ค่าเชื่อมสัญญาณ/
ค่าติดตั้ง/
ค่าขายอุปกรณ์
(เรียกเก็บสุทธิ)]]-Table1351452010[[#This Row],[ต้นทุน]]</f>
        <v>0</v>
      </c>
      <c r="AB15" s="534" t="str">
        <f>IF(Table1351452010[[#This Row],[ส่วนต่างกำไร]]&lt;(Table1351452010[[#This Row],[ต้นทุน]]*5%),Table1351452010[[#This Row],[ค่าเชื่อมสัญญาณ/
ค่าติดตั้ง/
ค่าขายอุปกรณ์
(เรียกเก็บสุทธิ)]]*$AB$3,"0")</f>
        <v>0</v>
      </c>
      <c r="AC15" s="534">
        <f>IF(Table1351452010[[#This Row],[ส่วนต่างกำไร]]&gt;=(Table1351452010[[#This Row],[ต้นทุน]]*5%),Table1351452010[[#This Row],[ค่าเชื่อมสัญญาณ/
ค่าติดตั้ง/
ค่าขายอุปกรณ์
(เรียกเก็บสุทธิ)]]*$AC$3,"0")</f>
        <v>0</v>
      </c>
      <c r="AD15" s="604">
        <f>SUM(Table1351452010[[#This Row],[คอมฯ
 5%]:[คอมฯ
10%]])</f>
        <v>0</v>
      </c>
      <c r="AE15" s="616">
        <v>0</v>
      </c>
      <c r="AF15" s="590"/>
      <c r="AG15" s="608">
        <f>IF(Table1351452010[[#This Row],[หัก ณ ที่จ่าย
(ค่าเชื่อมสัญญาณ)]]="มี",Table1351452010[[#This Row],[ค่าเชื่อมสัญญาณ]]*$AG$3,0)</f>
        <v>0</v>
      </c>
      <c r="AH15" s="397">
        <f>Table1351452010[[#This Row],[ค่าเชื่อมสัญญาณ]]-Table1351452010[[#This Row],[มูลค่าหัก 3%
(ค่าเชื่อมสัญญาณ)]]</f>
        <v>0</v>
      </c>
      <c r="AI15" s="402">
        <f>Table1351452010[[#This Row],[ค่าเชื่อมสัญญาณ
(เรียกเก็บสุทธิ)]]*$AI$4</f>
        <v>0</v>
      </c>
      <c r="AJ15" s="535">
        <f>Table1351452010[[#This Row],[ปีที่1]]+Table1351452010[[#This Row],[Total
ค่าเชื่มสัญญาณ/ค่าติดตั้ง/
ค่าขายอุปกรณ์
(2)]]+Table1351452010[[#This Row],[Total 
คอมฯค่าเชื่อมสัญญาณ
(3)]]</f>
        <v>0</v>
      </c>
      <c r="AK15" s="536"/>
      <c r="AL15" s="536"/>
      <c r="AM15" s="537"/>
      <c r="AN15" s="537"/>
    </row>
    <row r="16" spans="1:40" s="565" customFormat="1" ht="27" hidden="1" customHeight="1">
      <c r="A16" s="712"/>
      <c r="B16" s="541"/>
      <c r="C16" s="539"/>
      <c r="D16" s="732"/>
      <c r="E16" s="540"/>
      <c r="F16" s="540"/>
      <c r="G16" s="566"/>
      <c r="H16" s="662"/>
      <c r="I16" s="542"/>
      <c r="J16" s="540"/>
      <c r="K16" s="540"/>
      <c r="L16" s="543"/>
      <c r="M16" s="543"/>
      <c r="N16" s="544"/>
      <c r="O16" s="545"/>
      <c r="P16" s="546"/>
      <c r="Q16" s="804"/>
      <c r="R16" s="745"/>
      <c r="S16" s="746"/>
      <c r="T16" s="746"/>
      <c r="U16" s="747"/>
      <c r="V16" s="391"/>
      <c r="W16" s="408"/>
      <c r="X16" s="410"/>
      <c r="Y16" s="389"/>
      <c r="Z16" s="392"/>
      <c r="AA16" s="658" t="e">
        <f t="shared" ref="AA16" si="2">AA15/Z15</f>
        <v>#DIV/0!</v>
      </c>
      <c r="AB16" s="584"/>
      <c r="AC16" s="584"/>
      <c r="AD16" s="605"/>
      <c r="AE16" s="405"/>
      <c r="AF16" s="408"/>
      <c r="AG16" s="408"/>
      <c r="AH16" s="393"/>
      <c r="AI16" s="403"/>
      <c r="AJ16" s="547"/>
      <c r="AK16" s="548"/>
      <c r="AL16" s="548"/>
      <c r="AM16" s="549"/>
      <c r="AN16" s="549"/>
    </row>
    <row r="17" spans="1:40" s="565" customFormat="1" ht="27" hidden="1" customHeight="1">
      <c r="A17" s="538"/>
      <c r="B17" s="541"/>
      <c r="C17" s="538"/>
      <c r="D17" s="736"/>
      <c r="E17" s="550"/>
      <c r="F17" s="550"/>
      <c r="G17" s="566"/>
      <c r="H17" s="662"/>
      <c r="I17" s="542"/>
      <c r="J17" s="540"/>
      <c r="K17" s="540"/>
      <c r="L17" s="543"/>
      <c r="M17" s="543"/>
      <c r="N17" s="540"/>
      <c r="O17" s="551"/>
      <c r="P17" s="552"/>
      <c r="Q17" s="675"/>
      <c r="R17" s="748"/>
      <c r="S17" s="749"/>
      <c r="T17" s="749"/>
      <c r="U17" s="750"/>
      <c r="V17" s="391"/>
      <c r="W17" s="408"/>
      <c r="X17" s="410"/>
      <c r="Y17" s="389"/>
      <c r="Z17" s="392"/>
      <c r="AA17" s="392"/>
      <c r="AB17" s="584"/>
      <c r="AC17" s="584"/>
      <c r="AD17" s="606"/>
      <c r="AE17" s="406"/>
      <c r="AF17" s="408"/>
      <c r="AG17" s="408"/>
      <c r="AH17" s="393"/>
      <c r="AI17" s="403"/>
      <c r="AJ17" s="547"/>
      <c r="AK17" s="548"/>
      <c r="AL17" s="548"/>
      <c r="AM17" s="549"/>
      <c r="AN17" s="549"/>
    </row>
    <row r="18" spans="1:40" s="565" customFormat="1" ht="27" hidden="1" customHeight="1" thickBot="1">
      <c r="A18" s="553"/>
      <c r="B18" s="555"/>
      <c r="C18" s="553"/>
      <c r="D18" s="737"/>
      <c r="E18" s="554"/>
      <c r="F18" s="554"/>
      <c r="G18" s="556"/>
      <c r="H18" s="663"/>
      <c r="I18" s="557"/>
      <c r="J18" s="558"/>
      <c r="K18" s="558"/>
      <c r="L18" s="559"/>
      <c r="M18" s="559"/>
      <c r="N18" s="558"/>
      <c r="O18" s="560"/>
      <c r="P18" s="561"/>
      <c r="Q18" s="676"/>
      <c r="R18" s="751"/>
      <c r="S18" s="752"/>
      <c r="T18" s="752"/>
      <c r="U18" s="753"/>
      <c r="V18" s="394"/>
      <c r="W18" s="409"/>
      <c r="X18" s="411"/>
      <c r="Y18" s="390"/>
      <c r="Z18" s="388"/>
      <c r="AA18" s="659"/>
      <c r="AB18" s="585"/>
      <c r="AC18" s="585"/>
      <c r="AD18" s="607"/>
      <c r="AE18" s="407"/>
      <c r="AF18" s="409"/>
      <c r="AG18" s="409"/>
      <c r="AH18" s="395"/>
      <c r="AI18" s="404"/>
      <c r="AJ18" s="562"/>
      <c r="AK18" s="563"/>
      <c r="AL18" s="563"/>
      <c r="AM18" s="564"/>
      <c r="AN18" s="564"/>
    </row>
    <row r="19" spans="1:40" s="565" customFormat="1" ht="27" hidden="1" customHeight="1">
      <c r="A19" s="609"/>
      <c r="B19" s="724"/>
      <c r="C19" s="610"/>
      <c r="D19" s="731"/>
      <c r="E19" s="611"/>
      <c r="F19" s="611"/>
      <c r="G19" s="612"/>
      <c r="H19" s="725"/>
      <c r="I19" s="615"/>
      <c r="J19" s="613"/>
      <c r="K19" s="613">
        <v>0</v>
      </c>
      <c r="L19" s="759" t="s">
        <v>187</v>
      </c>
      <c r="M19" s="760">
        <f>IF(Table1351452010[[#This Row],[หัก ณ ที่จ่าย
(ค่าบริการ)]]="มี",Table1351452010[[#This Row],[ค่าบริการเฉลี่ยต่อเดือน]]*3%,0)</f>
        <v>0</v>
      </c>
      <c r="N19" s="532">
        <f>Table1351452010[[#This Row],[ค่าบริการเฉลี่ยต่อเดือน]]-Table1351452010[[#This Row],[มูลค่าหัก 3%]]</f>
        <v>0</v>
      </c>
      <c r="O19" s="533">
        <f>Table1351452010[[#This Row],[ค่าบริการเฉลียรายเดือนตาม Package
(เรียกเก็บสุทธิ)]]</f>
        <v>0</v>
      </c>
      <c r="P19" s="727">
        <f>Table1351452010[[#This Row],[ระยะเวลาสัญญา
(เดือน)]]/$P$5</f>
        <v>0</v>
      </c>
      <c r="Q19" s="729">
        <f>Table1351452010[[#This Row],[Total
รายการเบิก
คอมขาย
(1)]]</f>
        <v>0</v>
      </c>
      <c r="R19" s="744">
        <v>0</v>
      </c>
      <c r="S19" s="730">
        <v>0</v>
      </c>
      <c r="T19" s="730">
        <v>0</v>
      </c>
      <c r="U19" s="754">
        <v>0</v>
      </c>
      <c r="V19" s="614">
        <v>0</v>
      </c>
      <c r="W19" s="590"/>
      <c r="X19" s="591">
        <f>IF(Table1351452010[[#This Row],[หัก ณ ที่จ่าย
(ค่าติตั้ง)]]="มี",Table1351452010[[#This Row],[ค่าเชื่อมสัญญาณ/
ค่าติดตั้ง/
ค่าขายอุปกรณ์]]*$X$3,0)</f>
        <v>0</v>
      </c>
      <c r="Y19" s="396">
        <f>Table1351452010[[#This Row],[ค่าเชื่อมสัญญาณ/
ค่าติดตั้ง/
ค่าขายอุปกรณ์]]-Table1351452010[[#This Row],[มูลค่าหัก 3%
(ค่าติดตั้ง)]]</f>
        <v>0</v>
      </c>
      <c r="Z19" s="331">
        <v>0</v>
      </c>
      <c r="AA19" s="657">
        <f>Table1351452010[[#This Row],[ค่าเชื่อมสัญญาณ/
ค่าติดตั้ง/
ค่าขายอุปกรณ์
(เรียกเก็บสุทธิ)]]-Table1351452010[[#This Row],[ต้นทุน]]</f>
        <v>0</v>
      </c>
      <c r="AB19" s="534" t="str">
        <f>IF(Table1351452010[[#This Row],[ส่วนต่างกำไร]]&lt;(Table1351452010[[#This Row],[ต้นทุน]]*5%),Table1351452010[[#This Row],[ค่าเชื่อมสัญญาณ/
ค่าติดตั้ง/
ค่าขายอุปกรณ์
(เรียกเก็บสุทธิ)]]*$AB$3,"0")</f>
        <v>0</v>
      </c>
      <c r="AC19" s="534">
        <f>IF(Table1351452010[[#This Row],[ส่วนต่างกำไร]]&gt;=(Table1351452010[[#This Row],[ต้นทุน]]*5%),Table1351452010[[#This Row],[ค่าเชื่อมสัญญาณ/
ค่าติดตั้ง/
ค่าขายอุปกรณ์
(เรียกเก็บสุทธิ)]]*$AC$3,"0")</f>
        <v>0</v>
      </c>
      <c r="AD19" s="604">
        <f>SUM(Table1351452010[[#This Row],[คอมฯ
 5%]:[คอมฯ
10%]])</f>
        <v>0</v>
      </c>
      <c r="AE19" s="616">
        <v>0</v>
      </c>
      <c r="AF19" s="590"/>
      <c r="AG19" s="608">
        <f>IF(Table1351452010[[#This Row],[หัก ณ ที่จ่าย
(ค่าเชื่อมสัญญาณ)]]="มี",Table1351452010[[#This Row],[ค่าเชื่อมสัญญาณ]]*$AG$3,0)</f>
        <v>0</v>
      </c>
      <c r="AH19" s="397">
        <f>Table1351452010[[#This Row],[ค่าเชื่อมสัญญาณ]]-Table1351452010[[#This Row],[มูลค่าหัก 3%
(ค่าเชื่อมสัญญาณ)]]</f>
        <v>0</v>
      </c>
      <c r="AI19" s="402">
        <f>Table1351452010[[#This Row],[ค่าเชื่อมสัญญาณ
(เรียกเก็บสุทธิ)]]*$AI$4</f>
        <v>0</v>
      </c>
      <c r="AJ19" s="535">
        <f>Table1351452010[[#This Row],[ปีที่1]]+Table1351452010[[#This Row],[Total
ค่าเชื่มสัญญาณ/ค่าติดตั้ง/
ค่าขายอุปกรณ์
(2)]]+Table1351452010[[#This Row],[Total 
คอมฯค่าเชื่อมสัญญาณ
(3)]]</f>
        <v>0</v>
      </c>
      <c r="AK19" s="536"/>
      <c r="AL19" s="536"/>
      <c r="AM19" s="537"/>
      <c r="AN19" s="537"/>
    </row>
    <row r="20" spans="1:40" s="565" customFormat="1" ht="27" hidden="1" customHeight="1">
      <c r="A20" s="712"/>
      <c r="B20" s="541"/>
      <c r="C20" s="539"/>
      <c r="D20" s="732"/>
      <c r="E20" s="540"/>
      <c r="F20" s="540"/>
      <c r="G20" s="566"/>
      <c r="H20" s="662"/>
      <c r="I20" s="542"/>
      <c r="J20" s="761"/>
      <c r="K20" s="761"/>
      <c r="L20" s="762"/>
      <c r="M20" s="763"/>
      <c r="N20" s="544"/>
      <c r="O20" s="545"/>
      <c r="P20" s="546"/>
      <c r="Q20" s="804"/>
      <c r="R20" s="745"/>
      <c r="S20" s="746"/>
      <c r="T20" s="746"/>
      <c r="U20" s="747"/>
      <c r="V20" s="391"/>
      <c r="W20" s="408"/>
      <c r="X20" s="410"/>
      <c r="Y20" s="389"/>
      <c r="Z20" s="392"/>
      <c r="AA20" s="658" t="e">
        <f t="shared" ref="AA20" si="3">AA19/Z19</f>
        <v>#DIV/0!</v>
      </c>
      <c r="AB20" s="584"/>
      <c r="AC20" s="584"/>
      <c r="AD20" s="605"/>
      <c r="AE20" s="405"/>
      <c r="AF20" s="408"/>
      <c r="AG20" s="408"/>
      <c r="AH20" s="393"/>
      <c r="AI20" s="403"/>
      <c r="AJ20" s="547"/>
      <c r="AK20" s="548"/>
      <c r="AL20" s="548"/>
      <c r="AM20" s="549"/>
      <c r="AN20" s="549"/>
    </row>
    <row r="21" spans="1:40" s="565" customFormat="1" ht="27" hidden="1" customHeight="1">
      <c r="A21" s="538"/>
      <c r="B21" s="541"/>
      <c r="C21" s="538"/>
      <c r="D21" s="736"/>
      <c r="E21" s="550"/>
      <c r="F21" s="550"/>
      <c r="G21" s="566"/>
      <c r="H21" s="662"/>
      <c r="I21" s="542"/>
      <c r="J21" s="540"/>
      <c r="K21" s="540"/>
      <c r="L21" s="543"/>
      <c r="M21" s="543"/>
      <c r="N21" s="540"/>
      <c r="O21" s="551"/>
      <c r="P21" s="552"/>
      <c r="Q21" s="675"/>
      <c r="R21" s="748"/>
      <c r="S21" s="749"/>
      <c r="T21" s="749"/>
      <c r="U21" s="750"/>
      <c r="V21" s="391"/>
      <c r="W21" s="408"/>
      <c r="X21" s="410"/>
      <c r="Y21" s="389"/>
      <c r="Z21" s="392"/>
      <c r="AA21" s="392"/>
      <c r="AB21" s="584"/>
      <c r="AC21" s="584"/>
      <c r="AD21" s="606"/>
      <c r="AE21" s="406"/>
      <c r="AF21" s="408"/>
      <c r="AG21" s="408"/>
      <c r="AH21" s="393"/>
      <c r="AI21" s="403"/>
      <c r="AJ21" s="547"/>
      <c r="AK21" s="548"/>
      <c r="AL21" s="548"/>
      <c r="AM21" s="549"/>
      <c r="AN21" s="549"/>
    </row>
    <row r="22" spans="1:40" s="565" customFormat="1" ht="27" hidden="1" customHeight="1" thickBot="1">
      <c r="A22" s="553"/>
      <c r="B22" s="555"/>
      <c r="C22" s="553"/>
      <c r="D22" s="737"/>
      <c r="E22" s="554"/>
      <c r="F22" s="554"/>
      <c r="G22" s="556"/>
      <c r="H22" s="663"/>
      <c r="I22" s="557"/>
      <c r="J22" s="558"/>
      <c r="K22" s="558"/>
      <c r="L22" s="758"/>
      <c r="M22" s="559"/>
      <c r="N22" s="558"/>
      <c r="O22" s="560"/>
      <c r="P22" s="561"/>
      <c r="Q22" s="676"/>
      <c r="R22" s="751"/>
      <c r="S22" s="752"/>
      <c r="T22" s="752"/>
      <c r="U22" s="753"/>
      <c r="V22" s="394"/>
      <c r="W22" s="409"/>
      <c r="X22" s="411"/>
      <c r="Y22" s="390"/>
      <c r="Z22" s="388"/>
      <c r="AA22" s="659"/>
      <c r="AB22" s="585"/>
      <c r="AC22" s="585"/>
      <c r="AD22" s="607"/>
      <c r="AE22" s="407"/>
      <c r="AF22" s="409"/>
      <c r="AG22" s="409"/>
      <c r="AH22" s="395"/>
      <c r="AI22" s="404"/>
      <c r="AJ22" s="562"/>
      <c r="AK22" s="563"/>
      <c r="AL22" s="563"/>
      <c r="AM22" s="564"/>
      <c r="AN22" s="564"/>
    </row>
    <row r="23" spans="1:40" s="565" customFormat="1" ht="27" hidden="1" customHeight="1">
      <c r="A23" s="609"/>
      <c r="B23" s="724"/>
      <c r="C23" s="610"/>
      <c r="D23" s="731"/>
      <c r="E23" s="611"/>
      <c r="F23" s="611"/>
      <c r="G23" s="612"/>
      <c r="H23" s="725"/>
      <c r="I23" s="615"/>
      <c r="J23" s="613"/>
      <c r="K23" s="613">
        <v>0</v>
      </c>
      <c r="L23" s="587"/>
      <c r="M23" s="588">
        <f>IF(Table1351452010[[#This Row],[หัก ณ ที่จ่าย
(ค่าบริการ)]]="มี",Table1351452010[[#This Row],[ค่าบริการเฉลี่ยต่อเดือน]]*3%,0)</f>
        <v>0</v>
      </c>
      <c r="N23" s="532">
        <f>Table1351452010[[#This Row],[ค่าบริการเฉลี่ยต่อเดือน]]-Table1351452010[[#This Row],[มูลค่าหัก 3%]]</f>
        <v>0</v>
      </c>
      <c r="O23"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23" s="727">
        <f>Table1351452010[[#This Row],[ระยะเวลาสัญญา
(เดือน)]]/$P$5</f>
        <v>0</v>
      </c>
      <c r="Q23" s="729">
        <f>Table1351452010[[#This Row],[Total
รายการเบิก
คอมขาย
(1)]]/5</f>
        <v>0</v>
      </c>
      <c r="R23" s="744">
        <f>Table1351452010[[#This Row],[ปีที่1]]</f>
        <v>0</v>
      </c>
      <c r="S23" s="730"/>
      <c r="T23" s="730"/>
      <c r="U23" s="754"/>
      <c r="V23" s="614"/>
      <c r="W23" s="590"/>
      <c r="X23" s="591">
        <f>IF(Table1351452010[[#This Row],[หัก ณ ที่จ่าย
(ค่าติตั้ง)]]="มี",Table1351452010[[#This Row],[ค่าเชื่อมสัญญาณ/
ค่าติดตั้ง/
ค่าขายอุปกรณ์]]*$X$3,0)</f>
        <v>0</v>
      </c>
      <c r="Y23" s="396">
        <f>(Table1351452010[[#This Row],[ค่าเชื่อมสัญญาณ/
ค่าติดตั้ง/
ค่าขายอุปกรณ์]]+V24)-Table1351452010[[#This Row],[มูลค่าหัก 3%
(ค่าติดตั้ง)]]</f>
        <v>0</v>
      </c>
      <c r="Z23" s="331"/>
      <c r="AA23" s="657">
        <f>Table1351452010[[#This Row],[ค่าเชื่อมสัญญาณ/
ค่าติดตั้ง/
ค่าขายอุปกรณ์
(เรียกเก็บสุทธิ)]]-Table1351452010[[#This Row],[ต้นทุน]]</f>
        <v>0</v>
      </c>
      <c r="AB23" s="534" t="str">
        <f>IF(Table1351452010[[#This Row],[ส่วนต่างกำไร]]&lt;(Table1351452010[[#This Row],[ต้นทุน]]*5%),Table1351452010[[#This Row],[ค่าเชื่อมสัญญาณ/
ค่าติดตั้ง/
ค่าขายอุปกรณ์
(เรียกเก็บสุทธิ)]]*$AB$3,"0")</f>
        <v>0</v>
      </c>
      <c r="AC23" s="534">
        <f>IF(Table1351452010[[#This Row],[ส่วนต่างกำไร]]&gt;=(Table1351452010[[#This Row],[ต้นทุน]]*5%),Table1351452010[[#This Row],[ค่าเชื่อมสัญญาณ/
ค่าติดตั้ง/
ค่าขายอุปกรณ์
(เรียกเก็บสุทธิ)]]*$AC$3,"0")</f>
        <v>0</v>
      </c>
      <c r="AD23" s="604">
        <f>SUM(Table1351452010[[#This Row],[คอมฯ
 5%]:[คอมฯ
10%]])</f>
        <v>0</v>
      </c>
      <c r="AE23" s="616">
        <v>0</v>
      </c>
      <c r="AF23" s="590"/>
      <c r="AG23" s="608">
        <f>IF(Table1351452010[[#This Row],[หัก ณ ที่จ่าย
(ค่าเชื่อมสัญญาณ)]]="มี",Table1351452010[[#This Row],[ค่าเชื่อมสัญญาณ]]*$AG$3,0)</f>
        <v>0</v>
      </c>
      <c r="AH23" s="397">
        <f>Table1351452010[[#This Row],[ค่าเชื่อมสัญญาณ]]-Table1351452010[[#This Row],[มูลค่าหัก 3%
(ค่าเชื่อมสัญญาณ)]]</f>
        <v>0</v>
      </c>
      <c r="AI23" s="402">
        <f>Table1351452010[[#This Row],[ค่าเชื่อมสัญญาณ
(เรียกเก็บสุทธิ)]]*$AI$4</f>
        <v>0</v>
      </c>
      <c r="AJ23" s="535">
        <f>Table1351452010[[#This Row],[ปีที่1]]+Table1351452010[[#This Row],[Total
ค่าเชื่มสัญญาณ/ค่าติดตั้ง/
ค่าขายอุปกรณ์
(2)]]+Table1351452010[[#This Row],[Total 
คอมฯค่าเชื่อมสัญญาณ
(3)]]</f>
        <v>0</v>
      </c>
      <c r="AK23" s="536"/>
      <c r="AL23" s="536"/>
      <c r="AM23" s="537"/>
      <c r="AN23" s="537"/>
    </row>
    <row r="24" spans="1:40" s="565" customFormat="1" ht="27" hidden="1" customHeight="1">
      <c r="A24" s="712"/>
      <c r="B24" s="541"/>
      <c r="C24" s="539"/>
      <c r="D24" s="732"/>
      <c r="E24" s="540"/>
      <c r="F24" s="540"/>
      <c r="G24" s="566"/>
      <c r="H24" s="662"/>
      <c r="I24" s="542"/>
      <c r="J24" s="540"/>
      <c r="K24" s="540"/>
      <c r="L24" s="543"/>
      <c r="M24" s="543"/>
      <c r="N24" s="544"/>
      <c r="O24" s="545"/>
      <c r="P24" s="546"/>
      <c r="Q24" s="805"/>
      <c r="R24" s="745"/>
      <c r="S24" s="745"/>
      <c r="T24" s="745"/>
      <c r="U24" s="745"/>
      <c r="V24" s="391"/>
      <c r="W24" s="788"/>
      <c r="X24" s="789">
        <f>IF(Table1351452010[[#This Row],[หัก ณ ที่จ่าย
(ค่าติตั้ง)]]="มี",Table1351452010[[#This Row],[ค่าเชื่อมสัญญาณ/
ค่าติดตั้ง/
ค่าขายอุปกรณ์]]*$X$3,0)</f>
        <v>0</v>
      </c>
      <c r="Y24" s="389"/>
      <c r="Z24" s="392"/>
      <c r="AA24" s="658" t="e">
        <f t="shared" ref="AA24" si="4">AA23/Z23</f>
        <v>#DIV/0!</v>
      </c>
      <c r="AB24" s="584"/>
      <c r="AC24" s="584"/>
      <c r="AD24" s="605"/>
      <c r="AE24" s="405"/>
      <c r="AF24" s="408"/>
      <c r="AG24" s="408"/>
      <c r="AH24" s="393"/>
      <c r="AI24" s="403"/>
      <c r="AJ24" s="547"/>
      <c r="AK24" s="548"/>
      <c r="AL24" s="548"/>
      <c r="AM24" s="549"/>
      <c r="AN24" s="549"/>
    </row>
    <row r="25" spans="1:40" s="565" customFormat="1" ht="27" hidden="1" customHeight="1">
      <c r="A25" s="538"/>
      <c r="B25" s="541"/>
      <c r="C25" s="538"/>
      <c r="D25" s="736"/>
      <c r="E25" s="550"/>
      <c r="F25" s="550"/>
      <c r="G25" s="566"/>
      <c r="H25" s="662"/>
      <c r="I25" s="542"/>
      <c r="J25" s="540"/>
      <c r="K25" s="540"/>
      <c r="L25" s="543"/>
      <c r="M25" s="543"/>
      <c r="N25" s="540"/>
      <c r="O25" s="551"/>
      <c r="P25" s="552"/>
      <c r="Q25" s="675"/>
      <c r="R25" s="748"/>
      <c r="S25" s="749"/>
      <c r="T25" s="749"/>
      <c r="U25" s="750"/>
      <c r="V25" s="391"/>
      <c r="W25" s="408"/>
      <c r="X25" s="410"/>
      <c r="Y25" s="389"/>
      <c r="Z25" s="392"/>
      <c r="AA25" s="392"/>
      <c r="AB25" s="584"/>
      <c r="AC25" s="584"/>
      <c r="AD25" s="606"/>
      <c r="AE25" s="406"/>
      <c r="AF25" s="408"/>
      <c r="AG25" s="408"/>
      <c r="AH25" s="393"/>
      <c r="AI25" s="403"/>
      <c r="AJ25" s="547"/>
      <c r="AK25" s="548"/>
      <c r="AL25" s="548"/>
      <c r="AM25" s="549"/>
      <c r="AN25" s="549"/>
    </row>
    <row r="26" spans="1:40" s="565" customFormat="1" ht="27" hidden="1" customHeight="1" thickBot="1">
      <c r="A26" s="553"/>
      <c r="B26" s="555"/>
      <c r="C26" s="553"/>
      <c r="D26" s="737"/>
      <c r="E26" s="554"/>
      <c r="F26" s="554"/>
      <c r="G26" s="556"/>
      <c r="H26" s="663"/>
      <c r="I26" s="557"/>
      <c r="J26" s="558"/>
      <c r="K26" s="558"/>
      <c r="L26" s="559"/>
      <c r="M26" s="559"/>
      <c r="N26" s="558"/>
      <c r="O26" s="560"/>
      <c r="P26" s="561"/>
      <c r="Q26" s="676"/>
      <c r="R26" s="751"/>
      <c r="S26" s="752"/>
      <c r="T26" s="752"/>
      <c r="U26" s="753"/>
      <c r="V26" s="394"/>
      <c r="W26" s="409"/>
      <c r="X26" s="411"/>
      <c r="Y26" s="390"/>
      <c r="Z26" s="388"/>
      <c r="AA26" s="659"/>
      <c r="AB26" s="585"/>
      <c r="AC26" s="585"/>
      <c r="AD26" s="607"/>
      <c r="AE26" s="407"/>
      <c r="AF26" s="409"/>
      <c r="AG26" s="409"/>
      <c r="AH26" s="395"/>
      <c r="AI26" s="404"/>
      <c r="AJ26" s="562"/>
      <c r="AK26" s="563"/>
      <c r="AL26" s="563"/>
      <c r="AM26" s="564"/>
      <c r="AN26" s="564"/>
    </row>
    <row r="27" spans="1:40" s="565" customFormat="1" ht="27" hidden="1" customHeight="1">
      <c r="A27" s="609"/>
      <c r="B27" s="724"/>
      <c r="C27" s="610"/>
      <c r="D27" s="731"/>
      <c r="E27" s="611"/>
      <c r="F27" s="611"/>
      <c r="G27" s="612"/>
      <c r="H27" s="725"/>
      <c r="I27" s="615"/>
      <c r="J27" s="613"/>
      <c r="K27" s="613"/>
      <c r="L27" s="587"/>
      <c r="M27" s="588">
        <f>IF(Table1351452010[[#This Row],[หัก ณ ที่จ่าย
(ค่าบริการ)]]="มี",Table1351452010[[#This Row],[ค่าบริการเฉลี่ยต่อเดือน]]*3%,0)</f>
        <v>0</v>
      </c>
      <c r="N27" s="532">
        <f>Table1351452010[[#This Row],[ค่าบริการเฉลี่ยต่อเดือน]]-Table1351452010[[#This Row],[มูลค่าหัก 3%]]</f>
        <v>0</v>
      </c>
      <c r="O27"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27" s="727">
        <f>Table1351452010[[#This Row],[ระยะเวลาสัญญา
(เดือน)]]/$P$5</f>
        <v>0</v>
      </c>
      <c r="Q27" s="729"/>
      <c r="R27" s="744"/>
      <c r="S27" s="730"/>
      <c r="T27" s="730"/>
      <c r="U27" s="754"/>
      <c r="V27" s="614"/>
      <c r="W27" s="590"/>
      <c r="X27" s="591">
        <f>IF(Table1351452010[[#This Row],[หัก ณ ที่จ่าย
(ค่าติตั้ง)]]="มี",Table1351452010[[#This Row],[ค่าเชื่อมสัญญาณ/
ค่าติดตั้ง/
ค่าขายอุปกรณ์]]*$X$3,0)</f>
        <v>0</v>
      </c>
      <c r="Y27" s="396">
        <f>Table1351452010[[#This Row],[ค่าเชื่อมสัญญาณ/
ค่าติดตั้ง/
ค่าขายอุปกรณ์]]-Table1351452010[[#This Row],[มูลค่าหัก 3%
(ค่าติดตั้ง)]]</f>
        <v>0</v>
      </c>
      <c r="Z27" s="331"/>
      <c r="AA27" s="657">
        <f>Table1351452010[[#This Row],[ค่าเชื่อมสัญญาณ/
ค่าติดตั้ง/
ค่าขายอุปกรณ์
(เรียกเก็บสุทธิ)]]-Table1351452010[[#This Row],[ต้นทุน]]</f>
        <v>0</v>
      </c>
      <c r="AB27" s="534" t="str">
        <f>IF(Table1351452010[[#This Row],[ส่วนต่างกำไร]]&lt;(Table1351452010[[#This Row],[ต้นทุน]]*5%),Table1351452010[[#This Row],[ค่าเชื่อมสัญญาณ/
ค่าติดตั้ง/
ค่าขายอุปกรณ์
(เรียกเก็บสุทธิ)]]*$AB$3,"0")</f>
        <v>0</v>
      </c>
      <c r="AC27" s="534">
        <f>IF(Table1351452010[[#This Row],[ส่วนต่างกำไร]]&gt;=(Table1351452010[[#This Row],[ต้นทุน]]*5%),Table1351452010[[#This Row],[ค่าเชื่อมสัญญาณ/
ค่าติดตั้ง/
ค่าขายอุปกรณ์
(เรียกเก็บสุทธิ)]]*$AC$3,"0")</f>
        <v>0</v>
      </c>
      <c r="AD27" s="604">
        <f>SUM(Table1351452010[[#This Row],[คอมฯ
 5%]:[คอมฯ
10%]])</f>
        <v>0</v>
      </c>
      <c r="AE27" s="616"/>
      <c r="AF27" s="590"/>
      <c r="AG27" s="608">
        <f>IF(Table1351452010[[#This Row],[หัก ณ ที่จ่าย
(ค่าเชื่อมสัญญาณ)]]="มี",Table1351452010[[#This Row],[ค่าเชื่อมสัญญาณ]]*$AG$3,0)</f>
        <v>0</v>
      </c>
      <c r="AH27" s="397">
        <f>Table1351452010[[#This Row],[ค่าเชื่อมสัญญาณ]]-Table1351452010[[#This Row],[มูลค่าหัก 3%
(ค่าเชื่อมสัญญาณ)]]</f>
        <v>0</v>
      </c>
      <c r="AI27" s="402">
        <f>Table1351452010[[#This Row],[ค่าเชื่อมสัญญาณ
(เรียกเก็บสุทธิ)]]*$AI$4</f>
        <v>0</v>
      </c>
      <c r="AJ27" s="535">
        <f>Table1351452010[[#This Row],[ปีที่1]]+Table1351452010[[#This Row],[Total
ค่าเชื่มสัญญาณ/ค่าติดตั้ง/
ค่าขายอุปกรณ์
(2)]]+Table1351452010[[#This Row],[Total 
คอมฯค่าเชื่อมสัญญาณ
(3)]]</f>
        <v>0</v>
      </c>
      <c r="AK27" s="536"/>
      <c r="AL27" s="536"/>
      <c r="AM27" s="537"/>
      <c r="AN27" s="537"/>
    </row>
    <row r="28" spans="1:40" s="565" customFormat="1" ht="27" hidden="1" customHeight="1">
      <c r="A28" s="712"/>
      <c r="B28" s="541"/>
      <c r="C28" s="539"/>
      <c r="D28" s="732"/>
      <c r="E28" s="540"/>
      <c r="F28" s="540"/>
      <c r="G28" s="566"/>
      <c r="H28" s="662"/>
      <c r="I28" s="542"/>
      <c r="J28" s="540"/>
      <c r="K28" s="540"/>
      <c r="L28" s="543"/>
      <c r="M28" s="543"/>
      <c r="N28" s="544"/>
      <c r="O28" s="545"/>
      <c r="P28" s="546"/>
      <c r="Q28" s="674"/>
      <c r="R28" s="745"/>
      <c r="S28" s="746"/>
      <c r="T28" s="746"/>
      <c r="U28" s="747"/>
      <c r="V28" s="391"/>
      <c r="W28" s="408"/>
      <c r="X28" s="410"/>
      <c r="Y28" s="389"/>
      <c r="Z28" s="392"/>
      <c r="AA28" s="658" t="e">
        <f t="shared" ref="AA28" si="5">AA27/Z27</f>
        <v>#DIV/0!</v>
      </c>
      <c r="AB28" s="584"/>
      <c r="AC28" s="584"/>
      <c r="AD28" s="605"/>
      <c r="AE28" s="405"/>
      <c r="AF28" s="408"/>
      <c r="AG28" s="408"/>
      <c r="AH28" s="393"/>
      <c r="AI28" s="403"/>
      <c r="AJ28" s="547"/>
      <c r="AK28" s="548"/>
      <c r="AL28" s="548"/>
      <c r="AM28" s="549"/>
      <c r="AN28" s="549"/>
    </row>
    <row r="29" spans="1:40" s="565" customFormat="1" ht="27" hidden="1" customHeight="1">
      <c r="A29" s="538"/>
      <c r="B29" s="541"/>
      <c r="C29" s="538"/>
      <c r="D29" s="736"/>
      <c r="E29" s="550"/>
      <c r="F29" s="550"/>
      <c r="G29" s="566"/>
      <c r="H29" s="662"/>
      <c r="I29" s="542"/>
      <c r="J29" s="540"/>
      <c r="K29" s="540"/>
      <c r="L29" s="543"/>
      <c r="M29" s="543"/>
      <c r="N29" s="540"/>
      <c r="O29" s="551"/>
      <c r="P29" s="552"/>
      <c r="Q29" s="675"/>
      <c r="R29" s="748"/>
      <c r="S29" s="749"/>
      <c r="T29" s="749"/>
      <c r="U29" s="750"/>
      <c r="V29" s="391"/>
      <c r="W29" s="408"/>
      <c r="X29" s="410"/>
      <c r="Y29" s="389"/>
      <c r="Z29" s="392"/>
      <c r="AA29" s="392"/>
      <c r="AB29" s="584"/>
      <c r="AC29" s="584"/>
      <c r="AD29" s="606"/>
      <c r="AE29" s="406"/>
      <c r="AF29" s="408"/>
      <c r="AG29" s="408"/>
      <c r="AH29" s="393"/>
      <c r="AI29" s="403"/>
      <c r="AJ29" s="547"/>
      <c r="AK29" s="548"/>
      <c r="AL29" s="548"/>
      <c r="AM29" s="549"/>
      <c r="AN29" s="549"/>
    </row>
    <row r="30" spans="1:40" s="565" customFormat="1" ht="27" hidden="1" customHeight="1" thickBot="1">
      <c r="A30" s="553"/>
      <c r="B30" s="555"/>
      <c r="C30" s="553"/>
      <c r="D30" s="737"/>
      <c r="E30" s="554"/>
      <c r="F30" s="554"/>
      <c r="G30" s="556"/>
      <c r="H30" s="663"/>
      <c r="I30" s="557"/>
      <c r="J30" s="558"/>
      <c r="K30" s="558"/>
      <c r="L30" s="559"/>
      <c r="M30" s="559"/>
      <c r="N30" s="558"/>
      <c r="O30" s="560"/>
      <c r="P30" s="561"/>
      <c r="Q30" s="676"/>
      <c r="R30" s="751"/>
      <c r="S30" s="752"/>
      <c r="T30" s="752"/>
      <c r="U30" s="753"/>
      <c r="V30" s="394"/>
      <c r="W30" s="409"/>
      <c r="X30" s="411"/>
      <c r="Y30" s="390"/>
      <c r="Z30" s="388"/>
      <c r="AA30" s="659"/>
      <c r="AB30" s="585"/>
      <c r="AC30" s="585"/>
      <c r="AD30" s="607"/>
      <c r="AE30" s="407"/>
      <c r="AF30" s="409"/>
      <c r="AG30" s="409"/>
      <c r="AH30" s="395"/>
      <c r="AI30" s="404"/>
      <c r="AJ30" s="562"/>
      <c r="AK30" s="563"/>
      <c r="AL30" s="563"/>
      <c r="AM30" s="564"/>
      <c r="AN30" s="564"/>
    </row>
    <row r="31" spans="1:40" s="565" customFormat="1" ht="27" hidden="1" customHeight="1">
      <c r="A31" s="609"/>
      <c r="B31" s="724"/>
      <c r="C31" s="610"/>
      <c r="D31" s="731"/>
      <c r="E31" s="611"/>
      <c r="F31" s="611"/>
      <c r="G31" s="612"/>
      <c r="H31" s="725"/>
      <c r="I31" s="615"/>
      <c r="J31" s="613"/>
      <c r="K31" s="613"/>
      <c r="L31" s="587"/>
      <c r="M31" s="588">
        <f>IF(Table1351452010[[#This Row],[หัก ณ ที่จ่าย
(ค่าบริการ)]]="มี",Table1351452010[[#This Row],[ค่าบริการเฉลี่ยต่อเดือน]]*3%,0)</f>
        <v>0</v>
      </c>
      <c r="N31" s="532">
        <f>Table1351452010[[#This Row],[ค่าบริการเฉลี่ยต่อเดือน]]-Table1351452010[[#This Row],[มูลค่าหัก 3%]]</f>
        <v>0</v>
      </c>
      <c r="O31" s="533">
        <f>Table1351452010[[#This Row],[ค่าบริการเฉลียรายเดือนตาม Package
(เรียกเก็บสุทธิ)]]</f>
        <v>0</v>
      </c>
      <c r="P31" s="727"/>
      <c r="Q31" s="729"/>
      <c r="R31" s="744"/>
      <c r="S31" s="730"/>
      <c r="T31" s="730"/>
      <c r="U31" s="754"/>
      <c r="V31" s="614"/>
      <c r="W31" s="590"/>
      <c r="X31" s="591">
        <f>IF(Table1351452010[[#This Row],[หัก ณ ที่จ่าย
(ค่าติตั้ง)]]="มี",Table1351452010[[#This Row],[ค่าเชื่อมสัญญาณ/
ค่าติดตั้ง/
ค่าขายอุปกรณ์]]*$X$3,0)</f>
        <v>0</v>
      </c>
      <c r="Y31" s="396">
        <f>Table1351452010[[#This Row],[ค่าเชื่อมสัญญาณ/
ค่าติดตั้ง/
ค่าขายอุปกรณ์]]-Table1351452010[[#This Row],[มูลค่าหัก 3%
(ค่าติดตั้ง)]]</f>
        <v>0</v>
      </c>
      <c r="Z31" s="331"/>
      <c r="AA31" s="657">
        <f>Table1351452010[[#This Row],[ค่าเชื่อมสัญญาณ/
ค่าติดตั้ง/
ค่าขายอุปกรณ์
(เรียกเก็บสุทธิ)]]-Table1351452010[[#This Row],[ต้นทุน]]</f>
        <v>0</v>
      </c>
      <c r="AB31" s="534" t="str">
        <f>IF(Table1351452010[[#This Row],[ส่วนต่างกำไร]]&lt;(Table1351452010[[#This Row],[ต้นทุน]]*5%),Table1351452010[[#This Row],[ค่าเชื่อมสัญญาณ/
ค่าติดตั้ง/
ค่าขายอุปกรณ์
(เรียกเก็บสุทธิ)]]*$AB$3,"0")</f>
        <v>0</v>
      </c>
      <c r="AC31" s="534">
        <f>IF(Table1351452010[[#This Row],[ส่วนต่างกำไร]]&gt;=(Table1351452010[[#This Row],[ต้นทุน]]*5%),Table1351452010[[#This Row],[ค่าเชื่อมสัญญาณ/
ค่าติดตั้ง/
ค่าขายอุปกรณ์
(เรียกเก็บสุทธิ)]]*$AC$3,"0")</f>
        <v>0</v>
      </c>
      <c r="AD31" s="604">
        <f>SUM(Table1351452010[[#This Row],[คอมฯ
 5%]:[คอมฯ
10%]])</f>
        <v>0</v>
      </c>
      <c r="AE31" s="616">
        <v>0</v>
      </c>
      <c r="AF31" s="590"/>
      <c r="AG31" s="608">
        <f>IF(Table1351452010[[#This Row],[หัก ณ ที่จ่าย
(ค่าเชื่อมสัญญาณ)]]="มี",Table1351452010[[#This Row],[ค่าเชื่อมสัญญาณ]]*$AG$3,0)</f>
        <v>0</v>
      </c>
      <c r="AH31" s="397">
        <f>Table1351452010[[#This Row],[ค่าเชื่อมสัญญาณ]]-Table1351452010[[#This Row],[มูลค่าหัก 3%
(ค่าเชื่อมสัญญาณ)]]</f>
        <v>0</v>
      </c>
      <c r="AI31" s="402">
        <f>Table1351452010[[#This Row],[ค่าเชื่อมสัญญาณ
(เรียกเก็บสุทธิ)]]*$AI$4</f>
        <v>0</v>
      </c>
      <c r="AJ31" s="535">
        <f>Table1351452010[[#This Row],[ปีที่1]]+Table1351452010[[#This Row],[Total
ค่าเชื่มสัญญาณ/ค่าติดตั้ง/
ค่าขายอุปกรณ์
(2)]]+Table1351452010[[#This Row],[Total 
คอมฯค่าเชื่อมสัญญาณ
(3)]]</f>
        <v>0</v>
      </c>
      <c r="AK31" s="536"/>
      <c r="AL31" s="536"/>
      <c r="AM31" s="537"/>
      <c r="AN31" s="537"/>
    </row>
    <row r="32" spans="1:40" s="565" customFormat="1" ht="27" hidden="1" customHeight="1">
      <c r="A32" s="712"/>
      <c r="B32" s="541"/>
      <c r="C32" s="539"/>
      <c r="D32" s="732"/>
      <c r="E32" s="540"/>
      <c r="F32" s="540"/>
      <c r="G32" s="566"/>
      <c r="H32" s="662"/>
      <c r="I32" s="542"/>
      <c r="J32" s="540"/>
      <c r="K32" s="540"/>
      <c r="L32" s="543"/>
      <c r="M32" s="543"/>
      <c r="N32" s="544"/>
      <c r="O32" s="545"/>
      <c r="P32" s="546"/>
      <c r="Q32" s="674"/>
      <c r="R32" s="745"/>
      <c r="S32" s="746"/>
      <c r="T32" s="746"/>
      <c r="U32" s="747"/>
      <c r="V32" s="391"/>
      <c r="W32" s="408"/>
      <c r="X32" s="410"/>
      <c r="Y32" s="389"/>
      <c r="Z32" s="392"/>
      <c r="AA32" s="658" t="e">
        <f t="shared" ref="AA32" si="6">AA31/Z31</f>
        <v>#DIV/0!</v>
      </c>
      <c r="AB32" s="584"/>
      <c r="AC32" s="584"/>
      <c r="AD32" s="605"/>
      <c r="AE32" s="405"/>
      <c r="AF32" s="408"/>
      <c r="AG32" s="408"/>
      <c r="AH32" s="393"/>
      <c r="AI32" s="403"/>
      <c r="AJ32" s="547"/>
      <c r="AK32" s="548"/>
      <c r="AL32" s="548"/>
      <c r="AM32" s="549"/>
      <c r="AN32" s="549"/>
    </row>
    <row r="33" spans="1:40" s="565" customFormat="1" ht="27" hidden="1" customHeight="1">
      <c r="A33" s="538"/>
      <c r="B33" s="541"/>
      <c r="C33" s="538"/>
      <c r="D33" s="736"/>
      <c r="E33" s="550"/>
      <c r="F33" s="550"/>
      <c r="G33" s="566"/>
      <c r="H33" s="662"/>
      <c r="I33" s="542"/>
      <c r="J33" s="540"/>
      <c r="K33" s="540"/>
      <c r="L33" s="543"/>
      <c r="M33" s="543"/>
      <c r="N33" s="540"/>
      <c r="O33" s="551"/>
      <c r="P33" s="552"/>
      <c r="Q33" s="675"/>
      <c r="R33" s="748"/>
      <c r="S33" s="749"/>
      <c r="T33" s="749"/>
      <c r="U33" s="750"/>
      <c r="V33" s="391"/>
      <c r="W33" s="408"/>
      <c r="X33" s="410"/>
      <c r="Y33" s="389"/>
      <c r="Z33" s="392"/>
      <c r="AA33" s="392"/>
      <c r="AB33" s="584"/>
      <c r="AC33" s="584"/>
      <c r="AD33" s="606"/>
      <c r="AE33" s="406"/>
      <c r="AF33" s="408"/>
      <c r="AG33" s="408"/>
      <c r="AH33" s="393"/>
      <c r="AI33" s="403"/>
      <c r="AJ33" s="547"/>
      <c r="AK33" s="548"/>
      <c r="AL33" s="548"/>
      <c r="AM33" s="549"/>
      <c r="AN33" s="549"/>
    </row>
    <row r="34" spans="1:40" s="565" customFormat="1" ht="27" hidden="1" customHeight="1" thickBot="1">
      <c r="A34" s="553"/>
      <c r="B34" s="555"/>
      <c r="C34" s="553"/>
      <c r="D34" s="737"/>
      <c r="E34" s="554"/>
      <c r="F34" s="554"/>
      <c r="G34" s="556"/>
      <c r="H34" s="663"/>
      <c r="I34" s="557"/>
      <c r="J34" s="558"/>
      <c r="K34" s="558"/>
      <c r="L34" s="559"/>
      <c r="M34" s="559"/>
      <c r="N34" s="558"/>
      <c r="O34" s="560"/>
      <c r="P34" s="561"/>
      <c r="Q34" s="676"/>
      <c r="R34" s="751"/>
      <c r="S34" s="752"/>
      <c r="T34" s="752"/>
      <c r="U34" s="753"/>
      <c r="V34" s="394"/>
      <c r="W34" s="409"/>
      <c r="X34" s="411"/>
      <c r="Y34" s="390"/>
      <c r="Z34" s="388"/>
      <c r="AA34" s="659"/>
      <c r="AB34" s="585"/>
      <c r="AC34" s="585"/>
      <c r="AD34" s="607"/>
      <c r="AE34" s="407"/>
      <c r="AF34" s="409"/>
      <c r="AG34" s="409"/>
      <c r="AH34" s="395"/>
      <c r="AI34" s="404"/>
      <c r="AJ34" s="562"/>
      <c r="AK34" s="563"/>
      <c r="AL34" s="563"/>
      <c r="AM34" s="564"/>
      <c r="AN34" s="564"/>
    </row>
    <row r="35" spans="1:40" s="565" customFormat="1" ht="27" hidden="1" customHeight="1">
      <c r="A35" s="609"/>
      <c r="B35" s="724"/>
      <c r="C35" s="610"/>
      <c r="D35" s="731"/>
      <c r="E35" s="611"/>
      <c r="F35" s="611"/>
      <c r="G35" s="612"/>
      <c r="H35" s="725"/>
      <c r="I35" s="615"/>
      <c r="J35" s="613"/>
      <c r="K35" s="613"/>
      <c r="L35" s="587"/>
      <c r="M35" s="588">
        <f>IF(Table1351452010[[#This Row],[หัก ณ ที่จ่าย
(ค่าบริการ)]]="มี",Table1351452010[[#This Row],[ค่าบริการเฉลี่ยต่อเดือน]]*3%,0)</f>
        <v>0</v>
      </c>
      <c r="N35" s="532">
        <f>Table1351452010[[#This Row],[ค่าบริการเฉลี่ยต่อเดือน]]-Table1351452010[[#This Row],[มูลค่าหัก 3%]]</f>
        <v>0</v>
      </c>
      <c r="O35" s="533">
        <f>Table1351452010[[#This Row],[ค่าบริการเฉลียรายเดือนตาม Package
(เรียกเก็บสุทธิ)]]</f>
        <v>0</v>
      </c>
      <c r="P35" s="727"/>
      <c r="Q35" s="729"/>
      <c r="R35" s="744"/>
      <c r="S35" s="730"/>
      <c r="T35" s="730"/>
      <c r="U35" s="754"/>
      <c r="V35" s="614"/>
      <c r="W35" s="590"/>
      <c r="X35" s="591">
        <f>IF(Table1351452010[[#This Row],[หัก ณ ที่จ่าย
(ค่าติตั้ง)]]="มี",Table1351452010[[#This Row],[ค่าเชื่อมสัญญาณ/
ค่าติดตั้ง/
ค่าขายอุปกรณ์]]*$X$3,0)</f>
        <v>0</v>
      </c>
      <c r="Y35" s="396">
        <f>Table1351452010[[#This Row],[ค่าเชื่อมสัญญาณ/
ค่าติดตั้ง/
ค่าขายอุปกรณ์]]-Table1351452010[[#This Row],[มูลค่าหัก 3%
(ค่าติดตั้ง)]]</f>
        <v>0</v>
      </c>
      <c r="Z35" s="331"/>
      <c r="AA35" s="657">
        <f>Table1351452010[[#This Row],[ค่าเชื่อมสัญญาณ/
ค่าติดตั้ง/
ค่าขายอุปกรณ์
(เรียกเก็บสุทธิ)]]-Table1351452010[[#This Row],[ต้นทุน]]</f>
        <v>0</v>
      </c>
      <c r="AB35" s="534" t="str">
        <f>IF(Table1351452010[[#This Row],[ส่วนต่างกำไร]]&lt;(Table1351452010[[#This Row],[ต้นทุน]]*5%),Table1351452010[[#This Row],[ค่าเชื่อมสัญญาณ/
ค่าติดตั้ง/
ค่าขายอุปกรณ์
(เรียกเก็บสุทธิ)]]*$AB$3,"0")</f>
        <v>0</v>
      </c>
      <c r="AC35" s="534">
        <f>IF(Table1351452010[[#This Row],[ส่วนต่างกำไร]]&gt;=(Table1351452010[[#This Row],[ต้นทุน]]*5%),Table1351452010[[#This Row],[ค่าเชื่อมสัญญาณ/
ค่าติดตั้ง/
ค่าขายอุปกรณ์
(เรียกเก็บสุทธิ)]]*$AC$3,"0")</f>
        <v>0</v>
      </c>
      <c r="AD35" s="604">
        <f>SUM(Table1351452010[[#This Row],[คอมฯ
 5%]:[คอมฯ
10%]])</f>
        <v>0</v>
      </c>
      <c r="AE35" s="616"/>
      <c r="AF35" s="590"/>
      <c r="AG35" s="608">
        <f>IF(Table1351452010[[#This Row],[หัก ณ ที่จ่าย
(ค่าเชื่อมสัญญาณ)]]="มี",Table1351452010[[#This Row],[ค่าเชื่อมสัญญาณ]]*$AG$3,0)</f>
        <v>0</v>
      </c>
      <c r="AH35" s="397">
        <f>Table1351452010[[#This Row],[ค่าเชื่อมสัญญาณ]]-Table1351452010[[#This Row],[มูลค่าหัก 3%
(ค่าเชื่อมสัญญาณ)]]</f>
        <v>0</v>
      </c>
      <c r="AI35" s="402">
        <f>Table1351452010[[#This Row],[ค่าเชื่อมสัญญาณ
(เรียกเก็บสุทธิ)]]*$AI$4</f>
        <v>0</v>
      </c>
      <c r="AJ35" s="535">
        <f>Table1351452010[[#This Row],[ปีที่1]]+Table1351452010[[#This Row],[Total
ค่าเชื่มสัญญาณ/ค่าติดตั้ง/
ค่าขายอุปกรณ์
(2)]]+Table1351452010[[#This Row],[Total 
คอมฯค่าเชื่อมสัญญาณ
(3)]]</f>
        <v>0</v>
      </c>
      <c r="AK35" s="536"/>
      <c r="AL35" s="536"/>
      <c r="AM35" s="537"/>
      <c r="AN35" s="537"/>
    </row>
    <row r="36" spans="1:40" s="565" customFormat="1" ht="27" hidden="1" customHeight="1">
      <c r="A36" s="712"/>
      <c r="B36" s="670"/>
      <c r="C36" s="539"/>
      <c r="D36" s="732"/>
      <c r="E36" s="540"/>
      <c r="F36" s="540"/>
      <c r="G36" s="566"/>
      <c r="H36" s="662"/>
      <c r="I36" s="542"/>
      <c r="J36" s="540"/>
      <c r="K36" s="540"/>
      <c r="L36" s="543"/>
      <c r="M36" s="543"/>
      <c r="N36" s="544"/>
      <c r="O36" s="545"/>
      <c r="P36" s="546"/>
      <c r="Q36" s="674"/>
      <c r="R36" s="745"/>
      <c r="S36" s="746"/>
      <c r="T36" s="746"/>
      <c r="U36" s="747"/>
      <c r="V36" s="391"/>
      <c r="W36" s="408"/>
      <c r="X36" s="410"/>
      <c r="Y36" s="389"/>
      <c r="Z36" s="392"/>
      <c r="AA36" s="658" t="e">
        <f t="shared" ref="AA36" si="7">AA35/Z35</f>
        <v>#DIV/0!</v>
      </c>
      <c r="AB36" s="584"/>
      <c r="AC36" s="584"/>
      <c r="AD36" s="605"/>
      <c r="AE36" s="405"/>
      <c r="AF36" s="408"/>
      <c r="AG36" s="408"/>
      <c r="AH36" s="393"/>
      <c r="AI36" s="403"/>
      <c r="AJ36" s="547"/>
      <c r="AK36" s="548"/>
      <c r="AL36" s="548"/>
      <c r="AM36" s="549"/>
      <c r="AN36" s="549"/>
    </row>
    <row r="37" spans="1:40" s="565" customFormat="1" ht="32.4" hidden="1" customHeight="1">
      <c r="A37" s="538"/>
      <c r="B37" s="541"/>
      <c r="C37" s="538"/>
      <c r="D37" s="735"/>
      <c r="E37" s="550"/>
      <c r="F37" s="550"/>
      <c r="G37" s="566"/>
      <c r="H37" s="662"/>
      <c r="I37" s="542"/>
      <c r="J37" s="540"/>
      <c r="K37" s="540"/>
      <c r="L37" s="543"/>
      <c r="M37" s="543"/>
      <c r="N37" s="540"/>
      <c r="O37" s="551"/>
      <c r="P37" s="552"/>
      <c r="Q37" s="675"/>
      <c r="R37" s="748"/>
      <c r="S37" s="749"/>
      <c r="T37" s="749"/>
      <c r="U37" s="750"/>
      <c r="V37" s="391"/>
      <c r="W37" s="408"/>
      <c r="X37" s="410"/>
      <c r="Y37" s="389"/>
      <c r="Z37" s="392"/>
      <c r="AA37" s="392"/>
      <c r="AB37" s="584"/>
      <c r="AC37" s="584"/>
      <c r="AD37" s="606"/>
      <c r="AE37" s="406"/>
      <c r="AF37" s="408"/>
      <c r="AG37" s="408"/>
      <c r="AH37" s="393"/>
      <c r="AI37" s="403"/>
      <c r="AJ37" s="547"/>
      <c r="AK37" s="548"/>
      <c r="AL37" s="548"/>
      <c r="AM37" s="549"/>
      <c r="AN37" s="549"/>
    </row>
    <row r="38" spans="1:40" s="565" customFormat="1" ht="27" hidden="1" customHeight="1" thickBot="1">
      <c r="A38" s="553"/>
      <c r="B38" s="555"/>
      <c r="C38" s="553"/>
      <c r="D38" s="734"/>
      <c r="E38" s="554"/>
      <c r="F38" s="554"/>
      <c r="G38" s="556"/>
      <c r="H38" s="663"/>
      <c r="I38" s="557"/>
      <c r="J38" s="558"/>
      <c r="K38" s="558"/>
      <c r="L38" s="559"/>
      <c r="M38" s="559"/>
      <c r="N38" s="558"/>
      <c r="O38" s="560"/>
      <c r="P38" s="561"/>
      <c r="Q38" s="676"/>
      <c r="R38" s="751"/>
      <c r="S38" s="752"/>
      <c r="T38" s="752"/>
      <c r="U38" s="753"/>
      <c r="V38" s="394"/>
      <c r="W38" s="409"/>
      <c r="X38" s="411"/>
      <c r="Y38" s="390"/>
      <c r="Z38" s="388"/>
      <c r="AA38" s="659"/>
      <c r="AB38" s="585"/>
      <c r="AC38" s="585"/>
      <c r="AD38" s="607"/>
      <c r="AE38" s="407"/>
      <c r="AF38" s="409"/>
      <c r="AG38" s="409"/>
      <c r="AH38" s="395"/>
      <c r="AI38" s="404"/>
      <c r="AJ38" s="562"/>
      <c r="AK38" s="563"/>
      <c r="AL38" s="563"/>
      <c r="AM38" s="564"/>
      <c r="AN38" s="564"/>
    </row>
    <row r="39" spans="1:40" s="565" customFormat="1" ht="27" hidden="1" customHeight="1">
      <c r="A39" s="609"/>
      <c r="B39" s="724"/>
      <c r="C39" s="610"/>
      <c r="D39" s="731"/>
      <c r="E39" s="611"/>
      <c r="F39" s="611"/>
      <c r="G39" s="612"/>
      <c r="H39" s="725"/>
      <c r="I39" s="615"/>
      <c r="J39" s="613"/>
      <c r="K39" s="613"/>
      <c r="L39" s="587"/>
      <c r="M39" s="588">
        <f>IF(Table1351452010[[#This Row],[หัก ณ ที่จ่าย
(ค่าบริการ)]]="มี",Table1351452010[[#This Row],[ค่าบริการเฉลี่ยต่อเดือน]]*3%,0)</f>
        <v>0</v>
      </c>
      <c r="N39" s="532">
        <f>Table1351452010[[#This Row],[ค่าบริการเฉลี่ยต่อเดือน]]-Table1351452010[[#This Row],[มูลค่าหัก 3%]]</f>
        <v>0</v>
      </c>
      <c r="O39" s="533">
        <f>Table1351452010[[#This Row],[ค่าบริการเฉลียรายเดือนตาม Package
(เรียกเก็บสุทธิ)]]</f>
        <v>0</v>
      </c>
      <c r="P39" s="727"/>
      <c r="Q39" s="729"/>
      <c r="R39" s="744"/>
      <c r="S39" s="730"/>
      <c r="T39" s="730"/>
      <c r="U39" s="754"/>
      <c r="V39" s="614"/>
      <c r="W39" s="590"/>
      <c r="X39" s="591">
        <f>IF(Table1351452010[[#This Row],[หัก ณ ที่จ่าย
(ค่าติตั้ง)]]="มี",Table1351452010[[#This Row],[ค่าเชื่อมสัญญาณ/
ค่าติดตั้ง/
ค่าขายอุปกรณ์]]*$X$3,0)</f>
        <v>0</v>
      </c>
      <c r="Y39" s="396">
        <f>Table1351452010[[#This Row],[ค่าเชื่อมสัญญาณ/
ค่าติดตั้ง/
ค่าขายอุปกรณ์]]-Table1351452010[[#This Row],[มูลค่าหัก 3%
(ค่าติดตั้ง)]]</f>
        <v>0</v>
      </c>
      <c r="Z39" s="331"/>
      <c r="AA39" s="657">
        <f>Table1351452010[[#This Row],[ค่าเชื่อมสัญญาณ/
ค่าติดตั้ง/
ค่าขายอุปกรณ์
(เรียกเก็บสุทธิ)]]-Table1351452010[[#This Row],[ต้นทุน]]</f>
        <v>0</v>
      </c>
      <c r="AB39" s="534" t="str">
        <f>IF(Table1351452010[[#This Row],[ส่วนต่างกำไร]]&lt;(Table1351452010[[#This Row],[ต้นทุน]]*5%),Table1351452010[[#This Row],[ค่าเชื่อมสัญญาณ/
ค่าติดตั้ง/
ค่าขายอุปกรณ์
(เรียกเก็บสุทธิ)]]*$AB$3,"0")</f>
        <v>0</v>
      </c>
      <c r="AC39" s="534">
        <f>IF(Table1351452010[[#This Row],[ส่วนต่างกำไร]]&gt;=(Table1351452010[[#This Row],[ต้นทุน]]*5%),Table1351452010[[#This Row],[ค่าเชื่อมสัญญาณ/
ค่าติดตั้ง/
ค่าขายอุปกรณ์
(เรียกเก็บสุทธิ)]]*$AC$3,"0")</f>
        <v>0</v>
      </c>
      <c r="AD39" s="604">
        <f>SUM(Table1351452010[[#This Row],[คอมฯ
 5%]:[คอมฯ
10%]])</f>
        <v>0</v>
      </c>
      <c r="AE39" s="616"/>
      <c r="AF39" s="590"/>
      <c r="AG39" s="608">
        <f>IF(Table1351452010[[#This Row],[หัก ณ ที่จ่าย
(ค่าเชื่อมสัญญาณ)]]="มี",Table1351452010[[#This Row],[ค่าเชื่อมสัญญาณ]]*$AG$3,0)</f>
        <v>0</v>
      </c>
      <c r="AH39" s="397">
        <f>Table1351452010[[#This Row],[ค่าเชื่อมสัญญาณ]]-Table1351452010[[#This Row],[มูลค่าหัก 3%
(ค่าเชื่อมสัญญาณ)]]</f>
        <v>0</v>
      </c>
      <c r="AI39" s="402">
        <f>Table1351452010[[#This Row],[ค่าเชื่อมสัญญาณ
(เรียกเก็บสุทธิ)]]*$AI$4</f>
        <v>0</v>
      </c>
      <c r="AJ39" s="535">
        <f>Table1351452010[[#This Row],[ปีที่1]]+Table1351452010[[#This Row],[Total
ค่าเชื่มสัญญาณ/ค่าติดตั้ง/
ค่าขายอุปกรณ์
(2)]]+Table1351452010[[#This Row],[Total 
คอมฯค่าเชื่อมสัญญาณ
(3)]]</f>
        <v>0</v>
      </c>
      <c r="AK39" s="536"/>
      <c r="AL39" s="536"/>
      <c r="AM39" s="537"/>
      <c r="AN39" s="537"/>
    </row>
    <row r="40" spans="1:40" s="565" customFormat="1" ht="27" hidden="1" customHeight="1">
      <c r="A40" s="712"/>
      <c r="B40" s="541"/>
      <c r="C40" s="539"/>
      <c r="D40" s="732"/>
      <c r="E40" s="540"/>
      <c r="F40" s="540"/>
      <c r="G40" s="566"/>
      <c r="H40" s="662"/>
      <c r="I40" s="542"/>
      <c r="J40" s="540"/>
      <c r="K40" s="540"/>
      <c r="L40" s="543"/>
      <c r="M40" s="543"/>
      <c r="N40" s="544"/>
      <c r="O40" s="545"/>
      <c r="P40" s="546"/>
      <c r="Q40" s="674"/>
      <c r="R40" s="745"/>
      <c r="S40" s="746"/>
      <c r="T40" s="746"/>
      <c r="U40" s="747"/>
      <c r="V40" s="391"/>
      <c r="W40" s="408"/>
      <c r="X40" s="410"/>
      <c r="Y40" s="389"/>
      <c r="Z40" s="392"/>
      <c r="AA40" s="658" t="e">
        <f t="shared" ref="AA40" si="8">AA39/Z39</f>
        <v>#DIV/0!</v>
      </c>
      <c r="AB40" s="584"/>
      <c r="AC40" s="584"/>
      <c r="AD40" s="605"/>
      <c r="AE40" s="405"/>
      <c r="AF40" s="408"/>
      <c r="AG40" s="408"/>
      <c r="AH40" s="393"/>
      <c r="AI40" s="403"/>
      <c r="AJ40" s="547"/>
      <c r="AK40" s="548"/>
      <c r="AL40" s="548"/>
      <c r="AM40" s="549"/>
      <c r="AN40" s="549"/>
    </row>
    <row r="41" spans="1:40" s="565" customFormat="1" ht="27" hidden="1" customHeight="1">
      <c r="A41" s="538"/>
      <c r="B41" s="541"/>
      <c r="C41" s="538"/>
      <c r="D41" s="736"/>
      <c r="E41" s="550"/>
      <c r="F41" s="550"/>
      <c r="G41" s="566"/>
      <c r="H41" s="662"/>
      <c r="I41" s="542"/>
      <c r="J41" s="540"/>
      <c r="K41" s="540"/>
      <c r="L41" s="543"/>
      <c r="M41" s="543"/>
      <c r="N41" s="540"/>
      <c r="O41" s="551"/>
      <c r="P41" s="552"/>
      <c r="Q41" s="675"/>
      <c r="R41" s="748"/>
      <c r="S41" s="749"/>
      <c r="T41" s="749"/>
      <c r="U41" s="750"/>
      <c r="V41" s="391"/>
      <c r="W41" s="408"/>
      <c r="X41" s="410"/>
      <c r="Y41" s="389"/>
      <c r="Z41" s="392"/>
      <c r="AA41" s="392"/>
      <c r="AB41" s="584"/>
      <c r="AC41" s="584"/>
      <c r="AD41" s="606"/>
      <c r="AE41" s="406"/>
      <c r="AF41" s="408"/>
      <c r="AG41" s="408"/>
      <c r="AH41" s="393"/>
      <c r="AI41" s="403"/>
      <c r="AJ41" s="547"/>
      <c r="AK41" s="548"/>
      <c r="AL41" s="548"/>
      <c r="AM41" s="549"/>
      <c r="AN41" s="549"/>
    </row>
    <row r="42" spans="1:40" s="565" customFormat="1" ht="27" hidden="1" customHeight="1" thickBot="1">
      <c r="A42" s="553"/>
      <c r="B42" s="555"/>
      <c r="C42" s="553"/>
      <c r="D42" s="737"/>
      <c r="E42" s="554"/>
      <c r="F42" s="554"/>
      <c r="G42" s="556"/>
      <c r="H42" s="663"/>
      <c r="I42" s="557"/>
      <c r="J42" s="558"/>
      <c r="K42" s="558"/>
      <c r="L42" s="559"/>
      <c r="M42" s="559"/>
      <c r="N42" s="558"/>
      <c r="O42" s="560"/>
      <c r="P42" s="561"/>
      <c r="Q42" s="676"/>
      <c r="R42" s="751"/>
      <c r="S42" s="752"/>
      <c r="T42" s="752"/>
      <c r="U42" s="753"/>
      <c r="V42" s="394"/>
      <c r="W42" s="409"/>
      <c r="X42" s="411"/>
      <c r="Y42" s="390"/>
      <c r="Z42" s="388"/>
      <c r="AA42" s="659"/>
      <c r="AB42" s="585"/>
      <c r="AC42" s="585"/>
      <c r="AD42" s="607"/>
      <c r="AE42" s="407"/>
      <c r="AF42" s="409"/>
      <c r="AG42" s="409"/>
      <c r="AH42" s="395"/>
      <c r="AI42" s="404"/>
      <c r="AJ42" s="562"/>
      <c r="AK42" s="563"/>
      <c r="AL42" s="563"/>
      <c r="AM42" s="564"/>
      <c r="AN42" s="564"/>
    </row>
    <row r="43" spans="1:40" s="565" customFormat="1" ht="27" hidden="1" customHeight="1">
      <c r="A43" s="609"/>
      <c r="B43" s="724"/>
      <c r="C43" s="610"/>
      <c r="D43" s="731"/>
      <c r="E43" s="611"/>
      <c r="F43" s="611"/>
      <c r="G43" s="612"/>
      <c r="H43" s="725"/>
      <c r="I43" s="615"/>
      <c r="J43" s="613"/>
      <c r="K43" s="613"/>
      <c r="L43" s="587"/>
      <c r="M43" s="588">
        <f>IF(Table1351452010[[#This Row],[หัก ณ ที่จ่าย
(ค่าบริการ)]]="มี",Table1351452010[[#This Row],[ค่าบริการเฉลี่ยต่อเดือน]]*3%,0)</f>
        <v>0</v>
      </c>
      <c r="N43" s="532">
        <f>Table1351452010[[#This Row],[ค่าบริการเฉลี่ยต่อเดือน]]-Table1351452010[[#This Row],[มูลค่าหัก 3%]]</f>
        <v>0</v>
      </c>
      <c r="O43" s="533">
        <f>Table1351452010[[#This Row],[ค่าบริการเฉลียรายเดือนตาม Package
(เรียกเก็บสุทธิ)]]</f>
        <v>0</v>
      </c>
      <c r="P43" s="727"/>
      <c r="Q43" s="729"/>
      <c r="R43" s="744"/>
      <c r="S43" s="730"/>
      <c r="T43" s="730"/>
      <c r="U43" s="754"/>
      <c r="V43" s="614"/>
      <c r="W43" s="764"/>
      <c r="X43" s="766">
        <f>IF(Table1351452010[[#This Row],[หัก ณ ที่จ่าย
(ค่าติตั้ง)]]="มี",Table1351452010[[#This Row],[ค่าเชื่อมสัญญาณ/
ค่าติดตั้ง/
ค่าขายอุปกรณ์]]*$X$3,0)</f>
        <v>0</v>
      </c>
      <c r="Y43" s="768">
        <f>Table1351452010[[#This Row],[ค่าเชื่อมสัญญาณ/
ค่าติดตั้ง/
ค่าขายอุปกรณ์]]-Table1351452010[[#This Row],[มูลค่าหัก 3%
(ค่าติดตั้ง)]]</f>
        <v>0</v>
      </c>
      <c r="Z43" s="331"/>
      <c r="AA43" s="657">
        <f>Table1351452010[[#This Row],[ค่าเชื่อมสัญญาณ/
ค่าติดตั้ง/
ค่าขายอุปกรณ์
(เรียกเก็บสุทธิ)]]-Table1351452010[[#This Row],[ต้นทุน]]</f>
        <v>0</v>
      </c>
      <c r="AB43" s="534" t="str">
        <f>IF(Table1351452010[[#This Row],[ส่วนต่างกำไร]]&lt;(Table1351452010[[#This Row],[ต้นทุน]]*5%),Y45*$AB$3,"0")</f>
        <v>0</v>
      </c>
      <c r="AC43" s="534">
        <f>IF(Table1351452010[[#This Row],[ส่วนต่างกำไร]]&gt;=(Table1351452010[[#This Row],[ต้นทุน]]*5%),Table1351452010[[#This Row],[ค่าเชื่อมสัญญาณ/
ค่าติดตั้ง/
ค่าขายอุปกรณ์
(เรียกเก็บสุทธิ)]]*$AC$3,"0")</f>
        <v>0</v>
      </c>
      <c r="AD43" s="604">
        <f>SUM(Table1351452010[[#This Row],[คอมฯ
 5%]:[คอมฯ
10%]])</f>
        <v>0</v>
      </c>
      <c r="AE43" s="616"/>
      <c r="AF43" s="590"/>
      <c r="AG43" s="608">
        <f>IF(Table1351452010[[#This Row],[หัก ณ ที่จ่าย
(ค่าเชื่อมสัญญาณ)]]="มี",Table1351452010[[#This Row],[ค่าเชื่อมสัญญาณ]]*$AG$3,0)</f>
        <v>0</v>
      </c>
      <c r="AH43" s="397">
        <f>Table1351452010[[#This Row],[ค่าเชื่อมสัญญาณ]]-Table1351452010[[#This Row],[มูลค่าหัก 3%
(ค่าเชื่อมสัญญาณ)]]</f>
        <v>0</v>
      </c>
      <c r="AI43" s="402">
        <f>Table1351452010[[#This Row],[ค่าเชื่อมสัญญาณ
(เรียกเก็บสุทธิ)]]*$AI$4</f>
        <v>0</v>
      </c>
      <c r="AJ43" s="535">
        <f>Table1351452010[[#This Row],[ปีที่1]]+Table1351452010[[#This Row],[Total
ค่าเชื่มสัญญาณ/ค่าติดตั้ง/
ค่าขายอุปกรณ์
(2)]]+Table1351452010[[#This Row],[Total 
คอมฯค่าเชื่อมสัญญาณ
(3)]]</f>
        <v>0</v>
      </c>
      <c r="AK43" s="536"/>
      <c r="AL43" s="536"/>
      <c r="AM43" s="537"/>
      <c r="AN43" s="537"/>
    </row>
    <row r="44" spans="1:40" s="565" customFormat="1" ht="27" hidden="1" customHeight="1">
      <c r="A44" s="712"/>
      <c r="B44" s="541"/>
      <c r="C44" s="539"/>
      <c r="D44" s="732"/>
      <c r="E44" s="540"/>
      <c r="F44" s="540"/>
      <c r="G44" s="566"/>
      <c r="H44" s="662"/>
      <c r="I44" s="542"/>
      <c r="J44" s="540"/>
      <c r="K44" s="540"/>
      <c r="L44" s="543"/>
      <c r="M44" s="543"/>
      <c r="N44" s="544"/>
      <c r="O44" s="545"/>
      <c r="P44" s="546"/>
      <c r="Q44" s="674"/>
      <c r="R44" s="745"/>
      <c r="S44" s="746"/>
      <c r="T44" s="746"/>
      <c r="U44" s="747"/>
      <c r="V44" s="391"/>
      <c r="W44" s="788"/>
      <c r="X44" s="789"/>
      <c r="Y44" s="790"/>
      <c r="Z44" s="392"/>
      <c r="AA44" s="658" t="e">
        <f>AA43/Z43</f>
        <v>#DIV/0!</v>
      </c>
      <c r="AB44" s="794"/>
      <c r="AC44" s="794"/>
      <c r="AD44" s="798"/>
      <c r="AE44" s="405"/>
      <c r="AF44" s="408"/>
      <c r="AG44" s="408"/>
      <c r="AH44" s="393"/>
      <c r="AI44" s="403"/>
      <c r="AJ44" s="796"/>
      <c r="AK44" s="548"/>
      <c r="AL44" s="548"/>
      <c r="AM44" s="549"/>
      <c r="AN44" s="549"/>
    </row>
    <row r="45" spans="1:40" s="565" customFormat="1" ht="27" hidden="1" customHeight="1">
      <c r="A45" s="538"/>
      <c r="B45" s="541"/>
      <c r="C45" s="538"/>
      <c r="D45" s="736"/>
      <c r="E45" s="550"/>
      <c r="F45" s="550"/>
      <c r="G45" s="566"/>
      <c r="H45" s="662"/>
      <c r="I45" s="542"/>
      <c r="J45" s="540"/>
      <c r="K45" s="540"/>
      <c r="L45" s="543"/>
      <c r="M45" s="543"/>
      <c r="N45" s="540"/>
      <c r="O45" s="551"/>
      <c r="P45" s="552"/>
      <c r="Q45" s="675"/>
      <c r="R45" s="748"/>
      <c r="S45" s="749"/>
      <c r="T45" s="749"/>
      <c r="U45" s="750"/>
      <c r="V45" s="391"/>
      <c r="W45" s="765"/>
      <c r="X45" s="767">
        <f>IF(Table1351452010[[#This Row],[หัก ณ ที่จ่าย
(ค่าติตั้ง)]]="มี",Table1351452010[[#This Row],[ค่าเชื่อมสัญญาณ/
ค่าติดตั้ง/
ค่าขายอุปกรณ์]]*$X$3,0)</f>
        <v>0</v>
      </c>
      <c r="Y45" s="769">
        <f>Table1351452010[[#This Row],[ค่าเชื่อมสัญญาณ/
ค่าติดตั้ง/
ค่าขายอุปกรณ์]]-Table1351452010[[#This Row],[มูลค่าหัก 3%
(ค่าติดตั้ง)]]</f>
        <v>0</v>
      </c>
      <c r="Z45" s="392"/>
      <c r="AA45" s="791">
        <f>Table1351452010[[#This Row],[ค่าเชื่อมสัญญาณ/
ค่าติดตั้ง/
ค่าขายอุปกรณ์
(เรียกเก็บสุทธิ)]]-Table1351452010[[#This Row],[ต้นทุน]]</f>
        <v>0</v>
      </c>
      <c r="AB45" s="793" t="str">
        <f>IF(Table1351452010[[#This Row],[ส่วนต่างกำไร]]&lt;(Table1351452010[[#This Row],[ต้นทุน]]*5%),Y45*$AB$3,"0")</f>
        <v>0</v>
      </c>
      <c r="AC45" s="793">
        <f>IF(Table1351452010[[#This Row],[ส่วนต่างกำไร]]&gt;=(Table1351452010[[#This Row],[ต้นทุน]]*5%),Table1351452010[[#This Row],[ค่าเชื่อมสัญญาณ/
ค่าติดตั้ง/
ค่าขายอุปกรณ์
(เรียกเก็บสุทธิ)]]*$AC$3,"0")</f>
        <v>0</v>
      </c>
      <c r="AD45" s="797">
        <f>SUM(Table1351452010[[#This Row],[คอมฯ
 5%]:[คอมฯ
10%]])</f>
        <v>0</v>
      </c>
      <c r="AE45" s="406"/>
      <c r="AF45" s="408"/>
      <c r="AG45" s="408"/>
      <c r="AH45" s="393"/>
      <c r="AI45" s="403"/>
      <c r="AJ45" s="795">
        <f>Table1351452010[[#This Row],[ปีที่1]]+Table1351452010[[#This Row],[Total
ค่าเชื่มสัญญาณ/ค่าติดตั้ง/
ค่าขายอุปกรณ์
(2)]]+Table1351452010[[#This Row],[Total 
คอมฯค่าเชื่อมสัญญาณ
(3)]]</f>
        <v>0</v>
      </c>
      <c r="AK45" s="548"/>
      <c r="AL45" s="548"/>
      <c r="AM45" s="549"/>
      <c r="AN45" s="549"/>
    </row>
    <row r="46" spans="1:40" s="565" customFormat="1" ht="27" hidden="1" customHeight="1" thickBot="1">
      <c r="A46" s="553"/>
      <c r="B46" s="555"/>
      <c r="C46" s="553"/>
      <c r="D46" s="737"/>
      <c r="E46" s="554"/>
      <c r="F46" s="554"/>
      <c r="G46" s="556"/>
      <c r="H46" s="663"/>
      <c r="I46" s="557"/>
      <c r="J46" s="558"/>
      <c r="K46" s="558"/>
      <c r="L46" s="559"/>
      <c r="M46" s="559"/>
      <c r="N46" s="558"/>
      <c r="O46" s="560"/>
      <c r="P46" s="561"/>
      <c r="Q46" s="676"/>
      <c r="R46" s="751"/>
      <c r="S46" s="752"/>
      <c r="T46" s="752"/>
      <c r="U46" s="753"/>
      <c r="V46" s="394"/>
      <c r="W46" s="409"/>
      <c r="X46" s="411"/>
      <c r="Y46" s="390"/>
      <c r="Z46" s="388"/>
      <c r="AA46" s="792" t="e">
        <f>AA45/Z45</f>
        <v>#DIV/0!</v>
      </c>
      <c r="AB46" s="585"/>
      <c r="AC46" s="585"/>
      <c r="AD46" s="607"/>
      <c r="AE46" s="407"/>
      <c r="AF46" s="409"/>
      <c r="AG46" s="409"/>
      <c r="AH46" s="395"/>
      <c r="AI46" s="404"/>
      <c r="AJ46" s="562"/>
      <c r="AK46" s="563"/>
      <c r="AL46" s="563"/>
      <c r="AM46" s="564"/>
      <c r="AN46" s="564"/>
    </row>
    <row r="47" spans="1:40" s="565" customFormat="1" ht="27" hidden="1" customHeight="1">
      <c r="A47" s="609"/>
      <c r="B47" s="724"/>
      <c r="C47" s="610"/>
      <c r="D47" s="731"/>
      <c r="E47" s="611"/>
      <c r="F47" s="611"/>
      <c r="G47" s="612"/>
      <c r="H47" s="725"/>
      <c r="I47" s="615"/>
      <c r="J47" s="613"/>
      <c r="K47" s="613"/>
      <c r="L47" s="587"/>
      <c r="M47" s="588">
        <f>IF(Table1351452010[[#This Row],[หัก ณ ที่จ่าย
(ค่าบริการ)]]="มี",Table1351452010[[#This Row],[ค่าบริการเฉลี่ยต่อเดือน]]*3%,0)</f>
        <v>0</v>
      </c>
      <c r="N47" s="532">
        <f>Table1351452010[[#This Row],[ค่าบริการเฉลี่ยต่อเดือน]]-Table1351452010[[#This Row],[มูลค่าหัก 3%]]</f>
        <v>0</v>
      </c>
      <c r="O47" s="533">
        <f>Table1351452010[[#This Row],[ค่าบริการเฉลียรายเดือนตาม Package
(เรียกเก็บสุทธิ)]]</f>
        <v>0</v>
      </c>
      <c r="P47" s="727"/>
      <c r="Q47" s="729"/>
      <c r="R47" s="744"/>
      <c r="S47" s="730"/>
      <c r="T47" s="730"/>
      <c r="U47" s="754"/>
      <c r="V47" s="614"/>
      <c r="W47" s="590"/>
      <c r="X47" s="591">
        <f>IF(Table1351452010[[#This Row],[หัก ณ ที่จ่าย
(ค่าติตั้ง)]]="มี",Table1351452010[[#This Row],[ค่าเชื่อมสัญญาณ/
ค่าติดตั้ง/
ค่าขายอุปกรณ์]]*$X$3,0)</f>
        <v>0</v>
      </c>
      <c r="Y47" s="396">
        <f>Table1351452010[[#This Row],[ค่าเชื่อมสัญญาณ/
ค่าติดตั้ง/
ค่าขายอุปกรณ์]]-Table1351452010[[#This Row],[มูลค่าหัก 3%
(ค่าติดตั้ง)]]</f>
        <v>0</v>
      </c>
      <c r="Z47" s="331"/>
      <c r="AA47" s="657">
        <f>Table1351452010[[#This Row],[ค่าเชื่อมสัญญาณ/
ค่าติดตั้ง/
ค่าขายอุปกรณ์
(เรียกเก็บสุทธิ)]]-Table1351452010[[#This Row],[ต้นทุน]]</f>
        <v>0</v>
      </c>
      <c r="AB47" s="534" t="str">
        <f>IF(Table1351452010[[#This Row],[ส่วนต่างกำไร]]&lt;(Table1351452010[[#This Row],[ต้นทุน]]*5%),Table1351452010[[#This Row],[ค่าเชื่อมสัญญาณ/
ค่าติดตั้ง/
ค่าขายอุปกรณ์
(เรียกเก็บสุทธิ)]]*$AB$3,"0")</f>
        <v>0</v>
      </c>
      <c r="AC47" s="534">
        <f>IF(Table1351452010[[#This Row],[ส่วนต่างกำไร]]&gt;=(Table1351452010[[#This Row],[ต้นทุน]]*5%),Table1351452010[[#This Row],[ค่าเชื่อมสัญญาณ/
ค่าติดตั้ง/
ค่าขายอุปกรณ์
(เรียกเก็บสุทธิ)]]*$AC$3,"0")</f>
        <v>0</v>
      </c>
      <c r="AD47" s="604">
        <f>SUM(Table1351452010[[#This Row],[คอมฯ
 5%]:[คอมฯ
10%]])</f>
        <v>0</v>
      </c>
      <c r="AE47" s="616"/>
      <c r="AF47" s="590"/>
      <c r="AG47" s="608">
        <f>IF(Table1351452010[[#This Row],[หัก ณ ที่จ่าย
(ค่าเชื่อมสัญญาณ)]]="มี",Table1351452010[[#This Row],[ค่าเชื่อมสัญญาณ]]*$AG$3,0)</f>
        <v>0</v>
      </c>
      <c r="AH47" s="397">
        <f>Table1351452010[[#This Row],[ค่าเชื่อมสัญญาณ]]-Table1351452010[[#This Row],[มูลค่าหัก 3%
(ค่าเชื่อมสัญญาณ)]]</f>
        <v>0</v>
      </c>
      <c r="AI47" s="402">
        <f>Table1351452010[[#This Row],[ค่าเชื่อมสัญญาณ
(เรียกเก็บสุทธิ)]]*$AI$4</f>
        <v>0</v>
      </c>
      <c r="AJ47" s="535">
        <f>Table1351452010[[#This Row],[ปีที่1]]+Table1351452010[[#This Row],[Total
ค่าเชื่มสัญญาณ/ค่าติดตั้ง/
ค่าขายอุปกรณ์
(2)]]+Table1351452010[[#This Row],[Total 
คอมฯค่าเชื่อมสัญญาณ
(3)]]</f>
        <v>0</v>
      </c>
      <c r="AK47" s="536"/>
      <c r="AL47" s="536"/>
      <c r="AM47" s="537"/>
      <c r="AN47" s="537"/>
    </row>
    <row r="48" spans="1:40" s="565" customFormat="1" ht="27" hidden="1" customHeight="1">
      <c r="A48" s="712"/>
      <c r="B48" s="541"/>
      <c r="C48" s="539"/>
      <c r="D48" s="732"/>
      <c r="E48" s="540"/>
      <c r="F48" s="540"/>
      <c r="G48" s="566"/>
      <c r="H48" s="662"/>
      <c r="I48" s="542"/>
      <c r="J48" s="540"/>
      <c r="K48" s="540"/>
      <c r="L48" s="543"/>
      <c r="M48" s="543"/>
      <c r="N48" s="544"/>
      <c r="O48" s="545"/>
      <c r="P48" s="546"/>
      <c r="Q48" s="674"/>
      <c r="R48" s="745"/>
      <c r="S48" s="746"/>
      <c r="T48" s="746"/>
      <c r="U48" s="747"/>
      <c r="V48" s="391"/>
      <c r="W48" s="408"/>
      <c r="X48" s="410"/>
      <c r="Y48" s="389"/>
      <c r="Z48" s="392"/>
      <c r="AA48" s="658" t="e">
        <f t="shared" ref="AA48" si="9">AA47/Z47</f>
        <v>#DIV/0!</v>
      </c>
      <c r="AB48" s="584"/>
      <c r="AC48" s="584"/>
      <c r="AD48" s="605"/>
      <c r="AE48" s="405"/>
      <c r="AF48" s="408"/>
      <c r="AG48" s="408"/>
      <c r="AH48" s="393"/>
      <c r="AI48" s="403"/>
      <c r="AJ48" s="547"/>
      <c r="AK48" s="548"/>
      <c r="AL48" s="548"/>
      <c r="AM48" s="549"/>
      <c r="AN48" s="549"/>
    </row>
    <row r="49" spans="1:40" s="565" customFormat="1" ht="27" hidden="1" customHeight="1">
      <c r="A49" s="538">
        <v>23.8857142857143</v>
      </c>
      <c r="B49" s="541"/>
      <c r="C49" s="538"/>
      <c r="D49" s="736"/>
      <c r="E49" s="550"/>
      <c r="F49" s="550"/>
      <c r="G49" s="566"/>
      <c r="H49" s="662"/>
      <c r="I49" s="542"/>
      <c r="J49" s="540"/>
      <c r="K49" s="540"/>
      <c r="L49" s="543"/>
      <c r="M49" s="543"/>
      <c r="N49" s="540"/>
      <c r="O49" s="551"/>
      <c r="P49" s="552"/>
      <c r="Q49" s="675"/>
      <c r="R49" s="748"/>
      <c r="S49" s="749"/>
      <c r="T49" s="749"/>
      <c r="U49" s="750"/>
      <c r="V49" s="391"/>
      <c r="W49" s="408"/>
      <c r="X49" s="410"/>
      <c r="Y49" s="389"/>
      <c r="Z49" s="392"/>
      <c r="AA49" s="392"/>
      <c r="AB49" s="584"/>
      <c r="AC49" s="584"/>
      <c r="AD49" s="606"/>
      <c r="AE49" s="406"/>
      <c r="AF49" s="408"/>
      <c r="AG49" s="408"/>
      <c r="AH49" s="393"/>
      <c r="AI49" s="403"/>
      <c r="AJ49" s="547"/>
      <c r="AK49" s="548"/>
      <c r="AL49" s="548"/>
      <c r="AM49" s="549"/>
      <c r="AN49" s="549"/>
    </row>
    <row r="50" spans="1:40" s="565" customFormat="1" ht="28.2" hidden="1" customHeight="1" thickBot="1">
      <c r="A50" s="553">
        <v>25.092857142857198</v>
      </c>
      <c r="B50" s="555"/>
      <c r="C50" s="553"/>
      <c r="D50" s="737"/>
      <c r="E50" s="554"/>
      <c r="F50" s="554"/>
      <c r="G50" s="556"/>
      <c r="H50" s="663"/>
      <c r="I50" s="557"/>
      <c r="J50" s="558"/>
      <c r="K50" s="558"/>
      <c r="L50" s="559"/>
      <c r="M50" s="559"/>
      <c r="N50" s="558"/>
      <c r="O50" s="560"/>
      <c r="P50" s="561"/>
      <c r="Q50" s="676"/>
      <c r="R50" s="751"/>
      <c r="S50" s="752"/>
      <c r="T50" s="752"/>
      <c r="U50" s="753"/>
      <c r="V50" s="394"/>
      <c r="W50" s="409"/>
      <c r="X50" s="411"/>
      <c r="Y50" s="390"/>
      <c r="Z50" s="388"/>
      <c r="AA50" s="659"/>
      <c r="AB50" s="585"/>
      <c r="AC50" s="585"/>
      <c r="AD50" s="607"/>
      <c r="AE50" s="407"/>
      <c r="AF50" s="409"/>
      <c r="AG50" s="409"/>
      <c r="AH50" s="395"/>
      <c r="AI50" s="404"/>
      <c r="AJ50" s="562"/>
      <c r="AK50" s="563"/>
      <c r="AL50" s="563"/>
      <c r="AM50" s="564"/>
      <c r="AN50" s="564"/>
    </row>
    <row r="51" spans="1:40" s="565" customFormat="1" ht="27" hidden="1" customHeight="1">
      <c r="A51" s="609"/>
      <c r="B51" s="724"/>
      <c r="C51" s="610"/>
      <c r="D51" s="731"/>
      <c r="E51" s="611"/>
      <c r="F51" s="611"/>
      <c r="G51" s="612"/>
      <c r="H51" s="725"/>
      <c r="I51" s="615"/>
      <c r="J51" s="613"/>
      <c r="K51" s="613"/>
      <c r="L51" s="587"/>
      <c r="M51" s="588">
        <f>IF(Table1351452010[[#This Row],[หัก ณ ที่จ่าย
(ค่าบริการ)]]="มี",Table1351452010[[#This Row],[ค่าบริการเฉลี่ยต่อเดือน]]*3%,0)</f>
        <v>0</v>
      </c>
      <c r="N51" s="532">
        <f>Table1351452010[[#This Row],[ค่าบริการเฉลี่ยต่อเดือน]]-Table1351452010[[#This Row],[มูลค่าหัก 3%]]</f>
        <v>0</v>
      </c>
      <c r="O51" s="533">
        <f>Table1351452010[[#This Row],[ค่าบริการเฉลียรายเดือนตาม Package
(เรียกเก็บสุทธิ)]]</f>
        <v>0</v>
      </c>
      <c r="P51" s="727"/>
      <c r="Q51" s="728"/>
      <c r="R51" s="744"/>
      <c r="S51" s="730"/>
      <c r="T51" s="730"/>
      <c r="U51" s="754"/>
      <c r="V51" s="614">
        <v>0</v>
      </c>
      <c r="W51" s="590"/>
      <c r="X51" s="591">
        <f>IF(Table1351452010[[#This Row],[หัก ณ ที่จ่าย
(ค่าติตั้ง)]]="มี",Table1351452010[[#This Row],[ค่าเชื่อมสัญญาณ/
ค่าติดตั้ง/
ค่าขายอุปกรณ์]]*$X$3,0)</f>
        <v>0</v>
      </c>
      <c r="Y51" s="396">
        <f>Table1351452010[[#This Row],[ค่าเชื่อมสัญญาณ/
ค่าติดตั้ง/
ค่าขายอุปกรณ์]]-Table1351452010[[#This Row],[มูลค่าหัก 3%
(ค่าติดตั้ง)]]</f>
        <v>0</v>
      </c>
      <c r="Z51" s="331"/>
      <c r="AA51" s="657">
        <f>Table1351452010[[#This Row],[ค่าเชื่อมสัญญาณ/
ค่าติดตั้ง/
ค่าขายอุปกรณ์
(เรียกเก็บสุทธิ)]]-Table1351452010[[#This Row],[ต้นทุน]]</f>
        <v>0</v>
      </c>
      <c r="AB51" s="534" t="str">
        <f>IF(Table1351452010[[#This Row],[ส่วนต่างกำไร]]&lt;(Table1351452010[[#This Row],[ต้นทุน]]*5%),Table1351452010[[#This Row],[ค่าเชื่อมสัญญาณ/
ค่าติดตั้ง/
ค่าขายอุปกรณ์
(เรียกเก็บสุทธิ)]]*$AB$3,"0")</f>
        <v>0</v>
      </c>
      <c r="AC51" s="534">
        <f>IF(Table1351452010[[#This Row],[ส่วนต่างกำไร]]&gt;=(Table1351452010[[#This Row],[ต้นทุน]]*5%),Table1351452010[[#This Row],[ค่าเชื่อมสัญญาณ/
ค่าติดตั้ง/
ค่าขายอุปกรณ์
(เรียกเก็บสุทธิ)]]*$AC$3,"0")</f>
        <v>0</v>
      </c>
      <c r="AD51" s="604">
        <f>SUM(Table1351452010[[#This Row],[คอมฯ
 5%]:[คอมฯ
10%]])</f>
        <v>0</v>
      </c>
      <c r="AE51" s="616"/>
      <c r="AF51" s="590"/>
      <c r="AG51" s="608">
        <f>IF(Table1351452010[[#This Row],[หัก ณ ที่จ่าย
(ค่าเชื่อมสัญญาณ)]]="มี",Table1351452010[[#This Row],[ค่าเชื่อมสัญญาณ]]*$AG$3,0)</f>
        <v>0</v>
      </c>
      <c r="AH51" s="397">
        <f>Table1351452010[[#This Row],[ค่าเชื่อมสัญญาณ]]-Table1351452010[[#This Row],[มูลค่าหัก 3%
(ค่าเชื่อมสัญญาณ)]]</f>
        <v>0</v>
      </c>
      <c r="AI51" s="402">
        <f>Table1351452010[[#This Row],[ค่าเชื่อมสัญญาณ
(เรียกเก็บสุทธิ)]]*$AI$4</f>
        <v>0</v>
      </c>
      <c r="AJ51" s="535">
        <f>Table1351452010[[#This Row],[ปีที่1]]+Table1351452010[[#This Row],[Total
ค่าเชื่มสัญญาณ/ค่าติดตั้ง/
ค่าขายอุปกรณ์
(2)]]+Table1351452010[[#This Row],[Total 
คอมฯค่าเชื่อมสัญญาณ
(3)]]</f>
        <v>0</v>
      </c>
      <c r="AK51" s="536"/>
      <c r="AL51" s="536"/>
      <c r="AM51" s="537"/>
      <c r="AN51" s="537"/>
    </row>
    <row r="52" spans="1:40" s="565" customFormat="1" ht="27" hidden="1" customHeight="1">
      <c r="A52" s="712"/>
      <c r="B52" s="541"/>
      <c r="C52" s="539"/>
      <c r="D52" s="732"/>
      <c r="E52" s="540"/>
      <c r="F52" s="540"/>
      <c r="G52" s="566"/>
      <c r="H52" s="662"/>
      <c r="I52" s="542"/>
      <c r="J52" s="540"/>
      <c r="K52" s="540"/>
      <c r="L52" s="543"/>
      <c r="M52" s="543"/>
      <c r="N52" s="544"/>
      <c r="O52" s="545"/>
      <c r="P52" s="546"/>
      <c r="Q52" s="674"/>
      <c r="R52" s="745"/>
      <c r="S52" s="746"/>
      <c r="T52" s="746"/>
      <c r="U52" s="747"/>
      <c r="V52" s="391"/>
      <c r="W52" s="408"/>
      <c r="X52" s="410"/>
      <c r="Y52" s="389"/>
      <c r="Z52" s="392"/>
      <c r="AA52" s="658" t="e">
        <f t="shared" ref="AA52" si="10">AA51/Z51</f>
        <v>#DIV/0!</v>
      </c>
      <c r="AB52" s="584"/>
      <c r="AC52" s="584"/>
      <c r="AD52" s="605"/>
      <c r="AE52" s="405"/>
      <c r="AF52" s="408"/>
      <c r="AG52" s="408"/>
      <c r="AH52" s="393"/>
      <c r="AI52" s="403"/>
      <c r="AJ52" s="547"/>
      <c r="AK52" s="548"/>
      <c r="AL52" s="548"/>
      <c r="AM52" s="549"/>
      <c r="AN52" s="549"/>
    </row>
    <row r="53" spans="1:40" s="565" customFormat="1" ht="27" hidden="1" customHeight="1">
      <c r="A53" s="538">
        <v>23.8857142857143</v>
      </c>
      <c r="B53" s="541"/>
      <c r="C53" s="538"/>
      <c r="D53" s="736"/>
      <c r="E53" s="550"/>
      <c r="F53" s="550"/>
      <c r="G53" s="566"/>
      <c r="H53" s="662"/>
      <c r="I53" s="542"/>
      <c r="J53" s="540"/>
      <c r="K53" s="540"/>
      <c r="L53" s="543"/>
      <c r="M53" s="543"/>
      <c r="N53" s="540"/>
      <c r="O53" s="551"/>
      <c r="P53" s="552"/>
      <c r="Q53" s="675"/>
      <c r="R53" s="748"/>
      <c r="S53" s="749"/>
      <c r="T53" s="749"/>
      <c r="U53" s="750"/>
      <c r="V53" s="391"/>
      <c r="W53" s="408"/>
      <c r="X53" s="410"/>
      <c r="Y53" s="389"/>
      <c r="Z53" s="392"/>
      <c r="AA53" s="392"/>
      <c r="AB53" s="584"/>
      <c r="AC53" s="584"/>
      <c r="AD53" s="606"/>
      <c r="AE53" s="406"/>
      <c r="AF53" s="408"/>
      <c r="AG53" s="408"/>
      <c r="AH53" s="393"/>
      <c r="AI53" s="403"/>
      <c r="AJ53" s="547"/>
      <c r="AK53" s="548"/>
      <c r="AL53" s="548"/>
      <c r="AM53" s="549"/>
      <c r="AN53" s="549"/>
    </row>
    <row r="54" spans="1:40" s="565" customFormat="1" ht="27" hidden="1" customHeight="1" thickBot="1">
      <c r="A54" s="553">
        <v>25.092857142857198</v>
      </c>
      <c r="B54" s="555"/>
      <c r="C54" s="553"/>
      <c r="D54" s="737"/>
      <c r="E54" s="554"/>
      <c r="F54" s="554"/>
      <c r="G54" s="556"/>
      <c r="H54" s="663"/>
      <c r="I54" s="557"/>
      <c r="J54" s="558"/>
      <c r="K54" s="558"/>
      <c r="L54" s="559"/>
      <c r="M54" s="559"/>
      <c r="N54" s="558"/>
      <c r="O54" s="560"/>
      <c r="P54" s="561"/>
      <c r="Q54" s="676"/>
      <c r="R54" s="751"/>
      <c r="S54" s="752"/>
      <c r="T54" s="752"/>
      <c r="U54" s="753"/>
      <c r="V54" s="394"/>
      <c r="W54" s="409"/>
      <c r="X54" s="411"/>
      <c r="Y54" s="390"/>
      <c r="Z54" s="388"/>
      <c r="AA54" s="659"/>
      <c r="AB54" s="585"/>
      <c r="AC54" s="585"/>
      <c r="AD54" s="607"/>
      <c r="AE54" s="407"/>
      <c r="AF54" s="409"/>
      <c r="AG54" s="409"/>
      <c r="AH54" s="395"/>
      <c r="AI54" s="404"/>
      <c r="AJ54" s="562"/>
      <c r="AK54" s="563"/>
      <c r="AL54" s="563"/>
      <c r="AM54" s="564"/>
      <c r="AN54" s="564"/>
    </row>
    <row r="55" spans="1:40" s="565" customFormat="1" ht="27" hidden="1" customHeight="1">
      <c r="A55" s="609"/>
      <c r="B55" s="724"/>
      <c r="C55" s="610"/>
      <c r="D55" s="731"/>
      <c r="E55" s="611"/>
      <c r="F55" s="611"/>
      <c r="G55" s="612"/>
      <c r="H55" s="725"/>
      <c r="I55" s="615"/>
      <c r="J55" s="613"/>
      <c r="K55" s="613"/>
      <c r="L55" s="587"/>
      <c r="M55" s="588">
        <f>IF(Table1351452010[[#This Row],[หัก ณ ที่จ่าย
(ค่าบริการ)]]="มี",Table1351452010[[#This Row],[ค่าบริการเฉลี่ยต่อเดือน]]*3%,0)</f>
        <v>0</v>
      </c>
      <c r="N55" s="532">
        <f>Table1351452010[[#This Row],[ค่าบริการเฉลี่ยต่อเดือน]]-Table1351452010[[#This Row],[มูลค่าหัก 3%]]</f>
        <v>0</v>
      </c>
      <c r="O55"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5" s="727">
        <f>Table1351452010[[#This Row],[ระยะเวลาสัญญา
(เดือน)]]/$P$5</f>
        <v>0</v>
      </c>
      <c r="Q55" s="728"/>
      <c r="R55" s="744"/>
      <c r="S55" s="730"/>
      <c r="T55" s="730"/>
      <c r="U55" s="754"/>
      <c r="V55" s="614"/>
      <c r="W55" s="590"/>
      <c r="X55" s="591">
        <f>IF(Table1351452010[[#This Row],[หัก ณ ที่จ่าย
(ค่าติตั้ง)]]="มี",Table1351452010[[#This Row],[ค่าเชื่อมสัญญาณ/
ค่าติดตั้ง/
ค่าขายอุปกรณ์]]*$X$3,0)</f>
        <v>0</v>
      </c>
      <c r="Y55" s="396">
        <f>Table1351452010[[#This Row],[ค่าเชื่อมสัญญาณ/
ค่าติดตั้ง/
ค่าขายอุปกรณ์]]-Table1351452010[[#This Row],[มูลค่าหัก 3%
(ค่าติดตั้ง)]]</f>
        <v>0</v>
      </c>
      <c r="Z55" s="331"/>
      <c r="AA55" s="657">
        <f>Table1351452010[[#This Row],[ค่าเชื่อมสัญญาณ/
ค่าติดตั้ง/
ค่าขายอุปกรณ์
(เรียกเก็บสุทธิ)]]-Table1351452010[[#This Row],[ต้นทุน]]</f>
        <v>0</v>
      </c>
      <c r="AB55" s="534" t="str">
        <f>IF(Table1351452010[[#This Row],[ส่วนต่างกำไร]]&lt;(Table1351452010[[#This Row],[ต้นทุน]]*5%),Table1351452010[[#This Row],[ค่าเชื่อมสัญญาณ/
ค่าติดตั้ง/
ค่าขายอุปกรณ์
(เรียกเก็บสุทธิ)]]*$AB$3,"0")</f>
        <v>0</v>
      </c>
      <c r="AC55" s="534">
        <f>IF(Table1351452010[[#This Row],[ส่วนต่างกำไร]]&gt;=(Table1351452010[[#This Row],[ต้นทุน]]*5%),Table1351452010[[#This Row],[ค่าเชื่อมสัญญาณ/
ค่าติดตั้ง/
ค่าขายอุปกรณ์
(เรียกเก็บสุทธิ)]]*$AC$3,"0")</f>
        <v>0</v>
      </c>
      <c r="AD55" s="604">
        <f>SUM(Table1351452010[[#This Row],[คอมฯ
 5%]:[คอมฯ
10%]])</f>
        <v>0</v>
      </c>
      <c r="AE55" s="616"/>
      <c r="AF55" s="590"/>
      <c r="AG55" s="608">
        <f>IF(Table1351452010[[#This Row],[หัก ณ ที่จ่าย
(ค่าเชื่อมสัญญาณ)]]="มี",Table1351452010[[#This Row],[ค่าเชื่อมสัญญาณ]]*$AG$3,0)</f>
        <v>0</v>
      </c>
      <c r="AH55" s="397">
        <f>Table1351452010[[#This Row],[ค่าเชื่อมสัญญาณ]]-Table1351452010[[#This Row],[มูลค่าหัก 3%
(ค่าเชื่อมสัญญาณ)]]</f>
        <v>0</v>
      </c>
      <c r="AI55" s="402">
        <f>Table1351452010[[#This Row],[ค่าเชื่อมสัญญาณ
(เรียกเก็บสุทธิ)]]*$AI$4</f>
        <v>0</v>
      </c>
      <c r="AJ55" s="535">
        <f>Table1351452010[[#This Row],[ปีที่1]]+Table1351452010[[#This Row],[Total
ค่าเชื่มสัญญาณ/ค่าติดตั้ง/
ค่าขายอุปกรณ์
(2)]]+Table1351452010[[#This Row],[Total 
คอมฯค่าเชื่อมสัญญาณ
(3)]]</f>
        <v>0</v>
      </c>
      <c r="AK55" s="536"/>
      <c r="AL55" s="536"/>
      <c r="AM55" s="537"/>
      <c r="AN55" s="537"/>
    </row>
    <row r="56" spans="1:40" s="565" customFormat="1" ht="27" hidden="1" customHeight="1">
      <c r="A56" s="712"/>
      <c r="B56" s="541"/>
      <c r="C56" s="539"/>
      <c r="D56" s="732"/>
      <c r="E56" s="540"/>
      <c r="F56" s="540"/>
      <c r="G56" s="566"/>
      <c r="H56" s="662"/>
      <c r="I56" s="542"/>
      <c r="J56" s="540"/>
      <c r="K56" s="540"/>
      <c r="L56" s="543"/>
      <c r="M56" s="543"/>
      <c r="N56" s="544"/>
      <c r="O56" s="545"/>
      <c r="P56" s="546"/>
      <c r="Q56" s="674"/>
      <c r="R56" s="745"/>
      <c r="S56" s="746"/>
      <c r="T56" s="746"/>
      <c r="U56" s="747"/>
      <c r="V56" s="391"/>
      <c r="W56" s="408"/>
      <c r="X56" s="410"/>
      <c r="Y56" s="389"/>
      <c r="Z56" s="392"/>
      <c r="AA56" s="658" t="e">
        <f t="shared" ref="AA56" si="11">AA55/Z55</f>
        <v>#DIV/0!</v>
      </c>
      <c r="AB56" s="584"/>
      <c r="AC56" s="584"/>
      <c r="AD56" s="605"/>
      <c r="AE56" s="405"/>
      <c r="AF56" s="408"/>
      <c r="AG56" s="408"/>
      <c r="AH56" s="393"/>
      <c r="AI56" s="403"/>
      <c r="AJ56" s="547"/>
      <c r="AK56" s="548"/>
      <c r="AL56" s="548"/>
      <c r="AM56" s="549"/>
      <c r="AN56" s="549"/>
    </row>
    <row r="57" spans="1:40" s="565" customFormat="1" ht="27" hidden="1" customHeight="1">
      <c r="A57" s="538">
        <v>23.8857142857143</v>
      </c>
      <c r="B57" s="541"/>
      <c r="C57" s="538"/>
      <c r="D57" s="736"/>
      <c r="E57" s="550"/>
      <c r="F57" s="550"/>
      <c r="G57" s="566"/>
      <c r="H57" s="662"/>
      <c r="I57" s="542"/>
      <c r="J57" s="540"/>
      <c r="K57" s="540"/>
      <c r="L57" s="543"/>
      <c r="M57" s="543"/>
      <c r="N57" s="540"/>
      <c r="O57" s="551"/>
      <c r="P57" s="552"/>
      <c r="Q57" s="675"/>
      <c r="R57" s="748"/>
      <c r="S57" s="749"/>
      <c r="T57" s="749"/>
      <c r="U57" s="750"/>
      <c r="V57" s="391"/>
      <c r="W57" s="408"/>
      <c r="X57" s="410"/>
      <c r="Y57" s="389"/>
      <c r="Z57" s="392"/>
      <c r="AA57" s="392"/>
      <c r="AB57" s="584"/>
      <c r="AC57" s="584"/>
      <c r="AD57" s="606"/>
      <c r="AE57" s="406"/>
      <c r="AF57" s="408"/>
      <c r="AG57" s="408"/>
      <c r="AH57" s="393"/>
      <c r="AI57" s="403"/>
      <c r="AJ57" s="547"/>
      <c r="AK57" s="548"/>
      <c r="AL57" s="548"/>
      <c r="AM57" s="549"/>
      <c r="AN57" s="549"/>
    </row>
    <row r="58" spans="1:40" s="565" customFormat="1" ht="27" hidden="1" customHeight="1" thickBot="1">
      <c r="A58" s="553">
        <v>25.092857142857198</v>
      </c>
      <c r="B58" s="555"/>
      <c r="C58" s="553"/>
      <c r="D58" s="737"/>
      <c r="E58" s="554"/>
      <c r="F58" s="554"/>
      <c r="G58" s="556"/>
      <c r="H58" s="663"/>
      <c r="I58" s="557"/>
      <c r="J58" s="558"/>
      <c r="K58" s="558"/>
      <c r="L58" s="559"/>
      <c r="M58" s="559"/>
      <c r="N58" s="558"/>
      <c r="O58" s="560"/>
      <c r="P58" s="561"/>
      <c r="Q58" s="676"/>
      <c r="R58" s="751"/>
      <c r="S58" s="752"/>
      <c r="T58" s="752"/>
      <c r="U58" s="753"/>
      <c r="V58" s="394"/>
      <c r="W58" s="409"/>
      <c r="X58" s="411"/>
      <c r="Y58" s="390"/>
      <c r="Z58" s="388"/>
      <c r="AA58" s="659"/>
      <c r="AB58" s="585"/>
      <c r="AC58" s="585"/>
      <c r="AD58" s="607"/>
      <c r="AE58" s="407"/>
      <c r="AF58" s="409"/>
      <c r="AG58" s="409"/>
      <c r="AH58" s="395"/>
      <c r="AI58" s="404"/>
      <c r="AJ58" s="562"/>
      <c r="AK58" s="563"/>
      <c r="AL58" s="563"/>
      <c r="AM58" s="564"/>
      <c r="AN58" s="564"/>
    </row>
    <row r="59" spans="1:40" s="565" customFormat="1" ht="27" hidden="1" customHeight="1">
      <c r="A59" s="609"/>
      <c r="B59" s="724"/>
      <c r="C59" s="610"/>
      <c r="D59" s="731"/>
      <c r="E59" s="611"/>
      <c r="F59" s="611"/>
      <c r="G59" s="612"/>
      <c r="H59" s="725"/>
      <c r="I59" s="615"/>
      <c r="J59" s="613"/>
      <c r="K59" s="613"/>
      <c r="L59" s="587"/>
      <c r="M59" s="588">
        <f>IF(Table1351452010[[#This Row],[หัก ณ ที่จ่าย
(ค่าบริการ)]]="มี",Table1351452010[[#This Row],[ค่าบริการเฉลี่ยต่อเดือน]]*3%,0)</f>
        <v>0</v>
      </c>
      <c r="N59" s="532">
        <f>Table1351452010[[#This Row],[ค่าบริการเฉลี่ยต่อเดือน]]-Table1351452010[[#This Row],[มูลค่าหัก 3%]]</f>
        <v>0</v>
      </c>
      <c r="O59"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9" s="727">
        <f>Table1351452010[[#This Row],[ระยะเวลาสัญญา
(เดือน)]]/$P$5</f>
        <v>0</v>
      </c>
      <c r="Q59" s="729"/>
      <c r="R59" s="730"/>
      <c r="S59" s="730"/>
      <c r="T59" s="730"/>
      <c r="U59" s="754"/>
      <c r="V59" s="668"/>
      <c r="W59" s="590"/>
      <c r="X59" s="591">
        <f>IF(Table1351452010[[#This Row],[หัก ณ ที่จ่าย
(ค่าติตั้ง)]]="มี",Table1351452010[[#This Row],[ค่าเชื่อมสัญญาณ/
ค่าติดตั้ง/
ค่าขายอุปกรณ์]]*$X$3,0)</f>
        <v>0</v>
      </c>
      <c r="Y59" s="396">
        <f>Table1351452010[[#This Row],[ค่าเชื่อมสัญญาณ/
ค่าติดตั้ง/
ค่าขายอุปกรณ์]]-Table1351452010[[#This Row],[มูลค่าหัก 3%
(ค่าติดตั้ง)]]</f>
        <v>0</v>
      </c>
      <c r="Z59" s="669"/>
      <c r="AA59" s="657">
        <f>Table1351452010[[#This Row],[ค่าเชื่อมสัญญาณ/
ค่าติดตั้ง/
ค่าขายอุปกรณ์
(เรียกเก็บสุทธิ)]]-Table1351452010[[#This Row],[ต้นทุน]]</f>
        <v>0</v>
      </c>
      <c r="AB59" s="534" t="str">
        <f>IF(Table1351452010[[#This Row],[ส่วนต่างกำไร]]&lt;(Table1351452010[[#This Row],[ต้นทุน]]*5%),Table1351452010[[#This Row],[ค่าเชื่อมสัญญาณ/
ค่าติดตั้ง/
ค่าขายอุปกรณ์
(เรียกเก็บสุทธิ)]]*$AB$3,"0")</f>
        <v>0</v>
      </c>
      <c r="AC59" s="534">
        <f>IF(Table1351452010[[#This Row],[ส่วนต่างกำไร]]&gt;=(Table1351452010[[#This Row],[ต้นทุน]]*5%),Table1351452010[[#This Row],[ค่าเชื่อมสัญญาณ/
ค่าติดตั้ง/
ค่าขายอุปกรณ์
(เรียกเก็บสุทธิ)]]*$AC$3,"0")</f>
        <v>0</v>
      </c>
      <c r="AD59" s="604">
        <f>SUM(Table1351452010[[#This Row],[คอมฯ
 5%]:[คอมฯ
10%]])</f>
        <v>0</v>
      </c>
      <c r="AE59" s="616"/>
      <c r="AF59" s="590"/>
      <c r="AG59" s="608">
        <f>IF(Table1351452010[[#This Row],[หัก ณ ที่จ่าย
(ค่าเชื่อมสัญญาณ)]]="มี",Table1351452010[[#This Row],[ค่าเชื่อมสัญญาณ]]*$AG$3,0)</f>
        <v>0</v>
      </c>
      <c r="AH59" s="397">
        <f>Table1351452010[[#This Row],[ค่าเชื่อมสัญญาณ]]-Table1351452010[[#This Row],[มูลค่าหัก 3%
(ค่าเชื่อมสัญญาณ)]]</f>
        <v>0</v>
      </c>
      <c r="AI59" s="402">
        <f>Table1351452010[[#This Row],[ค่าเชื่อมสัญญาณ
(เรียกเก็บสุทธิ)]]*$AI$4</f>
        <v>0</v>
      </c>
      <c r="AJ59" s="535">
        <f>Table1351452010[[#This Row],[ปีที่1]]+Table1351452010[[#This Row],[Total
ค่าเชื่มสัญญาณ/ค่าติดตั้ง/
ค่าขายอุปกรณ์
(2)]]+Table1351452010[[#This Row],[Total 
คอมฯค่าเชื่อมสัญญาณ
(3)]]</f>
        <v>0</v>
      </c>
      <c r="AK59" s="536"/>
      <c r="AL59" s="536"/>
      <c r="AM59" s="537"/>
      <c r="AN59" s="537"/>
    </row>
    <row r="60" spans="1:40" s="565" customFormat="1" ht="27" hidden="1" customHeight="1">
      <c r="A60" s="712"/>
      <c r="B60" s="541"/>
      <c r="C60" s="539"/>
      <c r="D60" s="732"/>
      <c r="E60" s="540"/>
      <c r="F60" s="540"/>
      <c r="G60" s="566"/>
      <c r="H60" s="662"/>
      <c r="I60" s="542"/>
      <c r="J60" s="540"/>
      <c r="K60" s="540"/>
      <c r="L60" s="543"/>
      <c r="M60" s="543"/>
      <c r="N60" s="544"/>
      <c r="O60" s="545"/>
      <c r="P60" s="546"/>
      <c r="Q60" s="674"/>
      <c r="R60" s="746"/>
      <c r="S60" s="746"/>
      <c r="T60" s="746"/>
      <c r="U60" s="747"/>
      <c r="V60" s="391"/>
      <c r="W60" s="408"/>
      <c r="X60" s="410"/>
      <c r="Y60" s="389"/>
      <c r="Z60" s="392"/>
      <c r="AA60" s="658" t="e">
        <f t="shared" ref="AA60" si="12">AA59/Z59</f>
        <v>#DIV/0!</v>
      </c>
      <c r="AB60" s="584"/>
      <c r="AC60" s="584"/>
      <c r="AD60" s="605"/>
      <c r="AE60" s="405"/>
      <c r="AF60" s="408"/>
      <c r="AG60" s="408"/>
      <c r="AH60" s="393"/>
      <c r="AI60" s="403"/>
      <c r="AJ60" s="547"/>
      <c r="AK60" s="548"/>
      <c r="AL60" s="548"/>
      <c r="AM60" s="549"/>
      <c r="AN60" s="549"/>
    </row>
    <row r="61" spans="1:40" s="565" customFormat="1" ht="27" hidden="1" customHeight="1">
      <c r="A61" s="538">
        <v>23.8857142857143</v>
      </c>
      <c r="B61" s="541"/>
      <c r="C61" s="538"/>
      <c r="D61" s="738"/>
      <c r="E61" s="550"/>
      <c r="F61" s="550"/>
      <c r="G61" s="566"/>
      <c r="H61" s="662"/>
      <c r="I61" s="542"/>
      <c r="J61" s="540"/>
      <c r="K61" s="540"/>
      <c r="L61" s="543"/>
      <c r="M61" s="543"/>
      <c r="N61" s="540"/>
      <c r="O61" s="551"/>
      <c r="P61" s="552"/>
      <c r="Q61" s="675"/>
      <c r="R61" s="749"/>
      <c r="S61" s="749"/>
      <c r="T61" s="749"/>
      <c r="U61" s="750"/>
      <c r="V61" s="391"/>
      <c r="W61" s="408"/>
      <c r="X61" s="410"/>
      <c r="Y61" s="389"/>
      <c r="Z61" s="392"/>
      <c r="AA61" s="413"/>
      <c r="AB61" s="584"/>
      <c r="AC61" s="584"/>
      <c r="AD61" s="606"/>
      <c r="AE61" s="406"/>
      <c r="AF61" s="408"/>
      <c r="AG61" s="408"/>
      <c r="AH61" s="393"/>
      <c r="AI61" s="403"/>
      <c r="AJ61" s="547"/>
      <c r="AK61" s="548"/>
      <c r="AL61" s="548"/>
      <c r="AM61" s="549"/>
      <c r="AN61" s="549"/>
    </row>
    <row r="62" spans="1:40" s="565" customFormat="1" ht="27" hidden="1" customHeight="1" thickBot="1">
      <c r="A62" s="553">
        <v>25.092857142857198</v>
      </c>
      <c r="B62" s="555"/>
      <c r="C62" s="553"/>
      <c r="D62" s="737"/>
      <c r="E62" s="554"/>
      <c r="F62" s="554"/>
      <c r="G62" s="556"/>
      <c r="H62" s="663"/>
      <c r="I62" s="557"/>
      <c r="J62" s="558"/>
      <c r="K62" s="558"/>
      <c r="L62" s="559"/>
      <c r="M62" s="559"/>
      <c r="N62" s="558"/>
      <c r="O62" s="560"/>
      <c r="P62" s="561"/>
      <c r="Q62" s="676"/>
      <c r="R62" s="752"/>
      <c r="S62" s="752"/>
      <c r="T62" s="752"/>
      <c r="U62" s="753"/>
      <c r="V62" s="394"/>
      <c r="W62" s="409"/>
      <c r="X62" s="411"/>
      <c r="Y62" s="390"/>
      <c r="Z62" s="388"/>
      <c r="AA62" s="414"/>
      <c r="AB62" s="585"/>
      <c r="AC62" s="585"/>
      <c r="AD62" s="607"/>
      <c r="AE62" s="407"/>
      <c r="AF62" s="409"/>
      <c r="AG62" s="409"/>
      <c r="AH62" s="395"/>
      <c r="AI62" s="404"/>
      <c r="AJ62" s="562"/>
      <c r="AK62" s="563"/>
      <c r="AL62" s="563"/>
      <c r="AM62" s="564"/>
      <c r="AN62" s="564"/>
    </row>
    <row r="63" spans="1:40" s="565" customFormat="1" ht="27" hidden="1" customHeight="1">
      <c r="A63" s="609"/>
      <c r="B63" s="724"/>
      <c r="C63" s="610"/>
      <c r="D63" s="731"/>
      <c r="E63" s="611"/>
      <c r="F63" s="611"/>
      <c r="G63" s="612"/>
      <c r="H63" s="725"/>
      <c r="I63" s="615"/>
      <c r="J63" s="613"/>
      <c r="K63" s="613"/>
      <c r="L63" s="587"/>
      <c r="M63" s="588">
        <f>IF(Table1351452010[[#This Row],[หัก ณ ที่จ่าย
(ค่าบริการ)]]="มี",Table1351452010[[#This Row],[ค่าบริการเฉลี่ยต่อเดือน]]*3%,0)</f>
        <v>0</v>
      </c>
      <c r="N63" s="532">
        <f>Table1351452010[[#This Row],[ค่าบริการเฉลี่ยต่อเดือน]]-Table1351452010[[#This Row],[มูลค่าหัก 3%]]</f>
        <v>0</v>
      </c>
      <c r="O63"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63" s="727">
        <f>Table1351452010[[#This Row],[ระยะเวลาสัญญา
(เดือน)]]/$P$5</f>
        <v>0</v>
      </c>
      <c r="Q63" s="728"/>
      <c r="R63" s="744"/>
      <c r="S63" s="730"/>
      <c r="T63" s="730"/>
      <c r="U63" s="754"/>
      <c r="V63" s="614"/>
      <c r="W63" s="590"/>
      <c r="X63" s="591">
        <f>IF(Table1351452010[[#This Row],[หัก ณ ที่จ่าย
(ค่าติตั้ง)]]="มี",Table1351452010[[#This Row],[ค่าเชื่อมสัญญาณ/
ค่าติดตั้ง/
ค่าขายอุปกรณ์]]*$X$3,0)</f>
        <v>0</v>
      </c>
      <c r="Y63" s="396">
        <f>Table1351452010[[#This Row],[ค่าเชื่อมสัญญาณ/
ค่าติดตั้ง/
ค่าขายอุปกรณ์]]-Table1351452010[[#This Row],[มูลค่าหัก 3%
(ค่าติดตั้ง)]]</f>
        <v>0</v>
      </c>
      <c r="Z63" s="669"/>
      <c r="AA63" s="657">
        <f>Table1351452010[[#This Row],[ค่าเชื่อมสัญญาณ/
ค่าติดตั้ง/
ค่าขายอุปกรณ์
(เรียกเก็บสุทธิ)]]-Table1351452010[[#This Row],[ต้นทุน]]</f>
        <v>0</v>
      </c>
      <c r="AB63" s="534" t="str">
        <f>IF(Table1351452010[[#This Row],[ส่วนต่างกำไร]]&lt;(Table1351452010[[#This Row],[ต้นทุน]]*5%),Table1351452010[[#This Row],[ค่าเชื่อมสัญญาณ/
ค่าติดตั้ง/
ค่าขายอุปกรณ์
(เรียกเก็บสุทธิ)]]*$AB$3,"0")</f>
        <v>0</v>
      </c>
      <c r="AC63" s="534">
        <f>IF(Table1351452010[[#This Row],[ส่วนต่างกำไร]]&gt;=(Table1351452010[[#This Row],[ต้นทุน]]*5%),Table1351452010[[#This Row],[ค่าเชื่อมสัญญาณ/
ค่าติดตั้ง/
ค่าขายอุปกรณ์
(เรียกเก็บสุทธิ)]]*$AC$3,"0")</f>
        <v>0</v>
      </c>
      <c r="AD63" s="604">
        <f>SUM(Table1351452010[[#This Row],[คอมฯ
 5%]:[คอมฯ
10%]])</f>
        <v>0</v>
      </c>
      <c r="AE63" s="616"/>
      <c r="AF63" s="590"/>
      <c r="AG63" s="608">
        <f>IF(Table1351452010[[#This Row],[หัก ณ ที่จ่าย
(ค่าเชื่อมสัญญาณ)]]="มี",Table1351452010[[#This Row],[ค่าเชื่อมสัญญาณ]]*$AG$3,0)</f>
        <v>0</v>
      </c>
      <c r="AH63" s="397">
        <f>Table1351452010[[#This Row],[ค่าเชื่อมสัญญาณ]]-Table1351452010[[#This Row],[มูลค่าหัก 3%
(ค่าเชื่อมสัญญาณ)]]</f>
        <v>0</v>
      </c>
      <c r="AI63" s="402">
        <f>Table1351452010[[#This Row],[ค่าเชื่อมสัญญาณ
(เรียกเก็บสุทธิ)]]*$AI$4</f>
        <v>0</v>
      </c>
      <c r="AJ63" s="535">
        <f>Table1351452010[[#This Row],[ปีที่1]]+Table1351452010[[#This Row],[Total
ค่าเชื่มสัญญาณ/ค่าติดตั้ง/
ค่าขายอุปกรณ์
(2)]]+Table1351452010[[#This Row],[Total 
คอมฯค่าเชื่อมสัญญาณ
(3)]]</f>
        <v>0</v>
      </c>
      <c r="AK63" s="536"/>
      <c r="AL63" s="536"/>
      <c r="AM63" s="537"/>
      <c r="AN63" s="537"/>
    </row>
    <row r="64" spans="1:40" s="565" customFormat="1" ht="27" hidden="1" customHeight="1">
      <c r="A64" s="712"/>
      <c r="B64" s="541"/>
      <c r="C64" s="539"/>
      <c r="D64" s="732"/>
      <c r="E64" s="540"/>
      <c r="F64" s="540"/>
      <c r="G64" s="566"/>
      <c r="H64" s="662"/>
      <c r="I64" s="542"/>
      <c r="J64" s="540"/>
      <c r="K64" s="540"/>
      <c r="L64" s="543"/>
      <c r="M64" s="543"/>
      <c r="N64" s="544"/>
      <c r="O64" s="545"/>
      <c r="P64" s="546"/>
      <c r="Q64" s="674"/>
      <c r="R64" s="745"/>
      <c r="S64" s="746"/>
      <c r="T64" s="746"/>
      <c r="U64" s="747"/>
      <c r="V64" s="391"/>
      <c r="W64" s="408"/>
      <c r="X64" s="410"/>
      <c r="Y64" s="389"/>
      <c r="Z64" s="392"/>
      <c r="AA64" s="658" t="e">
        <f t="shared" ref="AA64" si="13">AA63/Z63</f>
        <v>#DIV/0!</v>
      </c>
      <c r="AB64" s="584"/>
      <c r="AC64" s="584"/>
      <c r="AD64" s="605"/>
      <c r="AE64" s="405"/>
      <c r="AF64" s="408"/>
      <c r="AG64" s="408"/>
      <c r="AH64" s="393"/>
      <c r="AI64" s="403"/>
      <c r="AJ64" s="547"/>
      <c r="AK64" s="548"/>
      <c r="AL64" s="548"/>
      <c r="AM64" s="549"/>
      <c r="AN64" s="549"/>
    </row>
    <row r="65" spans="1:40" s="565" customFormat="1" ht="27" hidden="1" customHeight="1">
      <c r="A65" s="538">
        <v>23.8857142857143</v>
      </c>
      <c r="B65" s="541"/>
      <c r="C65" s="538"/>
      <c r="D65" s="736"/>
      <c r="E65" s="550"/>
      <c r="F65" s="550"/>
      <c r="G65" s="566"/>
      <c r="H65" s="662"/>
      <c r="I65" s="542"/>
      <c r="J65" s="540"/>
      <c r="K65" s="540"/>
      <c r="L65" s="543"/>
      <c r="M65" s="543"/>
      <c r="N65" s="540"/>
      <c r="O65" s="551"/>
      <c r="P65" s="552"/>
      <c r="Q65" s="675"/>
      <c r="R65" s="748"/>
      <c r="S65" s="749"/>
      <c r="T65" s="749"/>
      <c r="U65" s="750"/>
      <c r="V65" s="391"/>
      <c r="W65" s="408"/>
      <c r="X65" s="410"/>
      <c r="Y65" s="389"/>
      <c r="Z65" s="392"/>
      <c r="AA65" s="392"/>
      <c r="AB65" s="584"/>
      <c r="AC65" s="584"/>
      <c r="AD65" s="606"/>
      <c r="AE65" s="406"/>
      <c r="AF65" s="408"/>
      <c r="AG65" s="408"/>
      <c r="AH65" s="393"/>
      <c r="AI65" s="403"/>
      <c r="AJ65" s="547"/>
      <c r="AK65" s="548"/>
      <c r="AL65" s="548"/>
      <c r="AM65" s="549"/>
      <c r="AN65" s="549"/>
    </row>
    <row r="66" spans="1:40" s="565" customFormat="1" ht="27" hidden="1" customHeight="1" thickBot="1">
      <c r="A66" s="553">
        <v>25.092857142857198</v>
      </c>
      <c r="B66" s="555"/>
      <c r="C66" s="553"/>
      <c r="D66" s="737"/>
      <c r="E66" s="554"/>
      <c r="F66" s="554"/>
      <c r="G66" s="556"/>
      <c r="H66" s="663"/>
      <c r="I66" s="557"/>
      <c r="J66" s="558"/>
      <c r="K66" s="558"/>
      <c r="L66" s="559"/>
      <c r="M66" s="559"/>
      <c r="N66" s="558"/>
      <c r="O66" s="560"/>
      <c r="P66" s="561"/>
      <c r="Q66" s="821"/>
      <c r="R66" s="822"/>
      <c r="S66" s="823"/>
      <c r="T66" s="823"/>
      <c r="U66" s="824"/>
      <c r="V66" s="394"/>
      <c r="W66" s="409"/>
      <c r="X66" s="411"/>
      <c r="Y66" s="390"/>
      <c r="Z66" s="659"/>
      <c r="AA66" s="659"/>
      <c r="AB66" s="585"/>
      <c r="AC66" s="585"/>
      <c r="AD66" s="607"/>
      <c r="AE66" s="825"/>
      <c r="AF66" s="409"/>
      <c r="AG66" s="409"/>
      <c r="AH66" s="395"/>
      <c r="AI66" s="404"/>
      <c r="AJ66" s="562"/>
      <c r="AK66" s="563"/>
      <c r="AL66" s="563"/>
      <c r="AM66" s="564"/>
      <c r="AN66" s="564"/>
    </row>
    <row r="67" spans="1:40" s="568" customFormat="1" ht="28.5" customHeight="1" thickBot="1">
      <c r="A67" s="826"/>
      <c r="B67" s="602"/>
      <c r="C67" s="601"/>
      <c r="D67" s="602" t="s">
        <v>5</v>
      </c>
      <c r="E67" s="602"/>
      <c r="F67" s="602"/>
      <c r="G67" s="603"/>
      <c r="H67" s="664"/>
      <c r="I67" s="603"/>
      <c r="J67" s="621"/>
      <c r="K67" s="621"/>
      <c r="L67" s="827"/>
      <c r="M67" s="828">
        <f>SUM(M7:M66)</f>
        <v>187.5</v>
      </c>
      <c r="N67" s="621">
        <f>SUM(N7:N66)</f>
        <v>6062.5</v>
      </c>
      <c r="O67" s="621">
        <f>SUM(O7:O66)</f>
        <v>5820</v>
      </c>
      <c r="P67" s="829"/>
      <c r="Q67" s="621">
        <f>Q63+Q59+Q55+Q51+Q47+Q43+Q39+Q35+Q31+Q27+Q23+Q19+Q15+Q11+Q7</f>
        <v>2910</v>
      </c>
      <c r="R67" s="621">
        <f t="shared" ref="R67:U67" si="14">R63+R59+R55+R51+R47+R43+R39+R35+R31+R27+R23+R19+R15+R11+R7</f>
        <v>2910</v>
      </c>
      <c r="S67" s="621">
        <f t="shared" si="14"/>
        <v>0</v>
      </c>
      <c r="T67" s="621">
        <f t="shared" si="14"/>
        <v>0</v>
      </c>
      <c r="U67" s="621">
        <f t="shared" si="14"/>
        <v>0</v>
      </c>
      <c r="V67" s="830">
        <f>SUM(V7:V66)</f>
        <v>10000</v>
      </c>
      <c r="W67" s="831"/>
      <c r="X67" s="830">
        <f>SUM(X7:X66)</f>
        <v>300</v>
      </c>
      <c r="Y67" s="830">
        <f>SUM(Y7+Y11+Y15+Y19+Y23+Y27+Y31+Y35+Y39+Y43+Y44+Y47)</f>
        <v>9700</v>
      </c>
      <c r="Z67" s="830">
        <f>SUM(Z7:Z66)</f>
        <v>6430</v>
      </c>
      <c r="AA67" s="830">
        <f>AA7+AA35+AA47+AA51+AA55+AA59+AA63+AA11+AA15+AA19+AA23+AA27+AA31+AA39+AA43</f>
        <v>3270</v>
      </c>
      <c r="AB67" s="621">
        <f>SUM(AB7:AB66)</f>
        <v>0</v>
      </c>
      <c r="AC67" s="621">
        <f>SUM(AC7:AC66)</f>
        <v>970</v>
      </c>
      <c r="AD67" s="621">
        <f>SUM(AD7:AD66)</f>
        <v>970</v>
      </c>
      <c r="AE67" s="830"/>
      <c r="AF67" s="831"/>
      <c r="AG67" s="831"/>
      <c r="AH67" s="830">
        <f t="shared" ref="AH67:AM67" si="15">SUM(AH7:AH66)</f>
        <v>0</v>
      </c>
      <c r="AI67" s="830">
        <f t="shared" si="15"/>
        <v>0</v>
      </c>
      <c r="AJ67" s="567">
        <f>SUBTOTAL(109,Table1351452010[รวมค่าคอมฯ])</f>
        <v>3880</v>
      </c>
      <c r="AK67" s="621">
        <f t="shared" si="15"/>
        <v>0</v>
      </c>
      <c r="AL67" s="621">
        <f t="shared" si="15"/>
        <v>0</v>
      </c>
      <c r="AM67" s="832">
        <f t="shared" si="15"/>
        <v>0</v>
      </c>
    </row>
    <row r="68" spans="1:40" s="568" customFormat="1" ht="28.5" customHeight="1" thickTop="1">
      <c r="A68" s="513"/>
      <c r="B68" s="514"/>
      <c r="C68" s="513"/>
      <c r="D68" s="514"/>
      <c r="E68" s="514"/>
      <c r="F68" s="514"/>
      <c r="G68" s="625"/>
      <c r="H68" s="665"/>
      <c r="I68" s="625"/>
      <c r="J68" s="626"/>
      <c r="K68" s="626"/>
      <c r="L68" s="627"/>
      <c r="M68" s="628"/>
      <c r="N68" s="626"/>
      <c r="O68" s="626"/>
      <c r="P68" s="629"/>
      <c r="Q68" s="770" t="s">
        <v>219</v>
      </c>
      <c r="R68" s="626"/>
      <c r="S68" s="626"/>
      <c r="T68" s="626"/>
      <c r="U68" s="626"/>
      <c r="V68" s="630"/>
      <c r="W68" s="631"/>
      <c r="X68" s="630"/>
      <c r="Y68" s="630"/>
      <c r="Z68" s="630"/>
      <c r="AA68" s="630"/>
      <c r="AB68" s="626"/>
      <c r="AC68" s="626"/>
      <c r="AD68" s="626"/>
      <c r="AE68" s="630"/>
      <c r="AF68" s="631"/>
      <c r="AG68" s="631"/>
      <c r="AH68" s="630"/>
      <c r="AI68" s="630"/>
      <c r="AJ68" s="626"/>
      <c r="AK68" s="626"/>
      <c r="AL68" s="626"/>
      <c r="AM68" s="626"/>
      <c r="AN68" s="513"/>
    </row>
    <row r="69" spans="1:40" ht="25.2" customHeight="1">
      <c r="D69" s="632" t="s">
        <v>203</v>
      </c>
      <c r="AE69" s="637"/>
      <c r="AJ69" s="576"/>
      <c r="AK69" s="577"/>
      <c r="AL69" s="577"/>
      <c r="AM69" s="578"/>
    </row>
    <row r="70" spans="1:40" s="638" customFormat="1" ht="37.799999999999997" customHeight="1">
      <c r="B70" s="642"/>
      <c r="D70" s="639" t="s">
        <v>201</v>
      </c>
      <c r="E70" s="640">
        <v>148580</v>
      </c>
      <c r="F70" s="641"/>
      <c r="G70" s="643"/>
      <c r="H70" s="667"/>
      <c r="I70" s="642"/>
      <c r="J70" s="641"/>
      <c r="K70" s="641"/>
      <c r="L70" s="644"/>
      <c r="M70" s="644"/>
      <c r="N70" s="641"/>
      <c r="O70" s="645"/>
      <c r="P70" s="646"/>
      <c r="Q70" s="646"/>
      <c r="R70" s="756"/>
      <c r="S70" s="756"/>
      <c r="T70" s="756"/>
      <c r="U70" s="756"/>
      <c r="V70" s="647"/>
      <c r="W70" s="648"/>
      <c r="X70" s="648"/>
      <c r="Y70" s="647"/>
      <c r="Z70" s="647"/>
      <c r="AA70" s="648"/>
      <c r="AB70" s="649"/>
      <c r="AC70" s="649"/>
      <c r="AD70" s="645"/>
      <c r="AE70" s="650"/>
      <c r="AF70" s="651"/>
      <c r="AG70" s="651"/>
      <c r="AH70" s="652"/>
      <c r="AI70" s="653"/>
      <c r="AJ70" s="654"/>
      <c r="AK70" s="649"/>
      <c r="AL70" s="649"/>
      <c r="AM70" s="655"/>
      <c r="AN70" s="656"/>
    </row>
    <row r="71" spans="1:40" ht="17.399999999999999" hidden="1">
      <c r="D71" s="634" t="s">
        <v>202</v>
      </c>
      <c r="E71" s="635">
        <v>5000</v>
      </c>
      <c r="F71" s="580"/>
    </row>
    <row r="72" spans="1:40" ht="17.399999999999999" hidden="1">
      <c r="E72" s="636">
        <f>SUM(E70:E71)</f>
        <v>153580</v>
      </c>
    </row>
  </sheetData>
  <sheetProtection formatCells="0" insertRows="0" insertHyperlinks="0" deleteRows="0" sort="0" autoFilter="0" pivotTables="0"/>
  <mergeCells count="7">
    <mergeCell ref="AE5:AI5"/>
    <mergeCell ref="V5:AD5"/>
    <mergeCell ref="A1:N1"/>
    <mergeCell ref="Q4:U4"/>
    <mergeCell ref="Q5:U5"/>
    <mergeCell ref="V4:AD4"/>
    <mergeCell ref="AE4:AI4"/>
  </mergeCells>
  <phoneticPr fontId="20" type="noConversion"/>
  <dataValidations count="3">
    <dataValidation type="list" allowBlank="1" showInputMessage="1" showErrorMessage="1" sqref="WMN983070 JT2 TP2 ADL2 ANH2 AXD2 BGZ2 BQV2 CAR2 CKN2 CUJ2 DEF2 DOB2 DXX2 EHT2 ERP2 FBL2 FLH2 FVD2 GEZ2 GOV2 GYR2 HIN2 HSJ2 ICF2 IMB2 IVX2 JFT2 JPP2 JZL2 KJH2 KTD2 LCZ2 LMV2 LWR2 MGN2 MQJ2 NAF2 NKB2 NTX2 ODT2 ONP2 OXL2 PHH2 PRD2 QAZ2 QKV2 QUR2 REN2 ROJ2 RYF2 SIB2 SRX2 TBT2 TLP2 TVL2 UFH2 UPD2 UYZ2 VIV2 VSR2 WCN2 WMJ2 QUV983070 JX65566 TT65566 ADP65566 ANL65566 AXH65566 BHD65566 BQZ65566 CAV65566 CKR65566 CUN65566 DEJ65566 DOF65566 DYB65566 EHX65566 ERT65566 FBP65566 FLL65566 FVH65566 GFD65566 GOZ65566 GYV65566 HIR65566 HSN65566 ICJ65566 IMF65566 IWB65566 JFX65566 JPT65566 JZP65566 KJL65566 KTH65566 LDD65566 LMZ65566 LWV65566 MGR65566 MQN65566 NAJ65566 NKF65566 NUB65566 ODX65566 ONT65566 OXP65566 PHL65566 PRH65566 QBD65566 QKZ65566 QUV65566 RER65566 RON65566 RYJ65566 SIF65566 SSB65566 TBX65566 TLT65566 TVP65566 UFL65566 UPH65566 UZD65566 VIZ65566 VSV65566 WCR65566 WMN65566 RER983070 JX131102 TT131102 ADP131102 ANL131102 AXH131102 BHD131102 BQZ131102 CAV131102 CKR131102 CUN131102 DEJ131102 DOF131102 DYB131102 EHX131102 ERT131102 FBP131102 FLL131102 FVH131102 GFD131102 GOZ131102 GYV131102 HIR131102 HSN131102 ICJ131102 IMF131102 IWB131102 JFX131102 JPT131102 JZP131102 KJL131102 KTH131102 LDD131102 LMZ131102 LWV131102 MGR131102 MQN131102 NAJ131102 NKF131102 NUB131102 ODX131102 ONT131102 OXP131102 PHL131102 PRH131102 QBD131102 QKZ131102 QUV131102 RER131102 RON131102 RYJ131102 SIF131102 SSB131102 TBX131102 TLT131102 TVP131102 UFL131102 UPH131102 UZD131102 VIZ131102 VSV131102 WCR131102 WMN131102 RON983070 JX196638 TT196638 ADP196638 ANL196638 AXH196638 BHD196638 BQZ196638 CAV196638 CKR196638 CUN196638 DEJ196638 DOF196638 DYB196638 EHX196638 ERT196638 FBP196638 FLL196638 FVH196638 GFD196638 GOZ196638 GYV196638 HIR196638 HSN196638 ICJ196638 IMF196638 IWB196638 JFX196638 JPT196638 JZP196638 KJL196638 KTH196638 LDD196638 LMZ196638 LWV196638 MGR196638 MQN196638 NAJ196638 NKF196638 NUB196638 ODX196638 ONT196638 OXP196638 PHL196638 PRH196638 QBD196638 QKZ196638 QUV196638 RER196638 RON196638 RYJ196638 SIF196638 SSB196638 TBX196638 TLT196638 TVP196638 UFL196638 UPH196638 UZD196638 VIZ196638 VSV196638 WCR196638 WMN196638 RYJ983070 JX262174 TT262174 ADP262174 ANL262174 AXH262174 BHD262174 BQZ262174 CAV262174 CKR262174 CUN262174 DEJ262174 DOF262174 DYB262174 EHX262174 ERT262174 FBP262174 FLL262174 FVH262174 GFD262174 GOZ262174 GYV262174 HIR262174 HSN262174 ICJ262174 IMF262174 IWB262174 JFX262174 JPT262174 JZP262174 KJL262174 KTH262174 LDD262174 LMZ262174 LWV262174 MGR262174 MQN262174 NAJ262174 NKF262174 NUB262174 ODX262174 ONT262174 OXP262174 PHL262174 PRH262174 QBD262174 QKZ262174 QUV262174 RER262174 RON262174 RYJ262174 SIF262174 SSB262174 TBX262174 TLT262174 TVP262174 UFL262174 UPH262174 UZD262174 VIZ262174 VSV262174 WCR262174 WMN262174 SIF983070 JX327710 TT327710 ADP327710 ANL327710 AXH327710 BHD327710 BQZ327710 CAV327710 CKR327710 CUN327710 DEJ327710 DOF327710 DYB327710 EHX327710 ERT327710 FBP327710 FLL327710 FVH327710 GFD327710 GOZ327710 GYV327710 HIR327710 HSN327710 ICJ327710 IMF327710 IWB327710 JFX327710 JPT327710 JZP327710 KJL327710 KTH327710 LDD327710 LMZ327710 LWV327710 MGR327710 MQN327710 NAJ327710 NKF327710 NUB327710 ODX327710 ONT327710 OXP327710 PHL327710 PRH327710 QBD327710 QKZ327710 QUV327710 RER327710 RON327710 RYJ327710 SIF327710 SSB327710 TBX327710 TLT327710 TVP327710 UFL327710 UPH327710 UZD327710 VIZ327710 VSV327710 WCR327710 WMN327710 SSB983070 JX393246 TT393246 ADP393246 ANL393246 AXH393246 BHD393246 BQZ393246 CAV393246 CKR393246 CUN393246 DEJ393246 DOF393246 DYB393246 EHX393246 ERT393246 FBP393246 FLL393246 FVH393246 GFD393246 GOZ393246 GYV393246 HIR393246 HSN393246 ICJ393246 IMF393246 IWB393246 JFX393246 JPT393246 JZP393246 KJL393246 KTH393246 LDD393246 LMZ393246 LWV393246 MGR393246 MQN393246 NAJ393246 NKF393246 NUB393246 ODX393246 ONT393246 OXP393246 PHL393246 PRH393246 QBD393246 QKZ393246 QUV393246 RER393246 RON393246 RYJ393246 SIF393246 SSB393246 TBX393246 TLT393246 TVP393246 UFL393246 UPH393246 UZD393246 VIZ393246 VSV393246 WCR393246 WMN393246 TBX983070 JX458782 TT458782 ADP458782 ANL458782 AXH458782 BHD458782 BQZ458782 CAV458782 CKR458782 CUN458782 DEJ458782 DOF458782 DYB458782 EHX458782 ERT458782 FBP458782 FLL458782 FVH458782 GFD458782 GOZ458782 GYV458782 HIR458782 HSN458782 ICJ458782 IMF458782 IWB458782 JFX458782 JPT458782 JZP458782 KJL458782 KTH458782 LDD458782 LMZ458782 LWV458782 MGR458782 MQN458782 NAJ458782 NKF458782 NUB458782 ODX458782 ONT458782 OXP458782 PHL458782 PRH458782 QBD458782 QKZ458782 QUV458782 RER458782 RON458782 RYJ458782 SIF458782 SSB458782 TBX458782 TLT458782 TVP458782 UFL458782 UPH458782 UZD458782 VIZ458782 VSV458782 WCR458782 WMN458782 TLT983070 JX524318 TT524318 ADP524318 ANL524318 AXH524318 BHD524318 BQZ524318 CAV524318 CKR524318 CUN524318 DEJ524318 DOF524318 DYB524318 EHX524318 ERT524318 FBP524318 FLL524318 FVH524318 GFD524318 GOZ524318 GYV524318 HIR524318 HSN524318 ICJ524318 IMF524318 IWB524318 JFX524318 JPT524318 JZP524318 KJL524318 KTH524318 LDD524318 LMZ524318 LWV524318 MGR524318 MQN524318 NAJ524318 NKF524318 NUB524318 ODX524318 ONT524318 OXP524318 PHL524318 PRH524318 QBD524318 QKZ524318 QUV524318 RER524318 RON524318 RYJ524318 SIF524318 SSB524318 TBX524318 TLT524318 TVP524318 UFL524318 UPH524318 UZD524318 VIZ524318 VSV524318 WCR524318 WMN524318 TVP983070 JX589854 TT589854 ADP589854 ANL589854 AXH589854 BHD589854 BQZ589854 CAV589854 CKR589854 CUN589854 DEJ589854 DOF589854 DYB589854 EHX589854 ERT589854 FBP589854 FLL589854 FVH589854 GFD589854 GOZ589854 GYV589854 HIR589854 HSN589854 ICJ589854 IMF589854 IWB589854 JFX589854 JPT589854 JZP589854 KJL589854 KTH589854 LDD589854 LMZ589854 LWV589854 MGR589854 MQN589854 NAJ589854 NKF589854 NUB589854 ODX589854 ONT589854 OXP589854 PHL589854 PRH589854 QBD589854 QKZ589854 QUV589854 RER589854 RON589854 RYJ589854 SIF589854 SSB589854 TBX589854 TLT589854 TVP589854 UFL589854 UPH589854 UZD589854 VIZ589854 VSV589854 WCR589854 WMN589854 UFL983070 JX655390 TT655390 ADP655390 ANL655390 AXH655390 BHD655390 BQZ655390 CAV655390 CKR655390 CUN655390 DEJ655390 DOF655390 DYB655390 EHX655390 ERT655390 FBP655390 FLL655390 FVH655390 GFD655390 GOZ655390 GYV655390 HIR655390 HSN655390 ICJ655390 IMF655390 IWB655390 JFX655390 JPT655390 JZP655390 KJL655390 KTH655390 LDD655390 LMZ655390 LWV655390 MGR655390 MQN655390 NAJ655390 NKF655390 NUB655390 ODX655390 ONT655390 OXP655390 PHL655390 PRH655390 QBD655390 QKZ655390 QUV655390 RER655390 RON655390 RYJ655390 SIF655390 SSB655390 TBX655390 TLT655390 TVP655390 UFL655390 UPH655390 UZD655390 VIZ655390 VSV655390 WCR655390 WMN655390 UPH983070 JX720926 TT720926 ADP720926 ANL720926 AXH720926 BHD720926 BQZ720926 CAV720926 CKR720926 CUN720926 DEJ720926 DOF720926 DYB720926 EHX720926 ERT720926 FBP720926 FLL720926 FVH720926 GFD720926 GOZ720926 GYV720926 HIR720926 HSN720926 ICJ720926 IMF720926 IWB720926 JFX720926 JPT720926 JZP720926 KJL720926 KTH720926 LDD720926 LMZ720926 LWV720926 MGR720926 MQN720926 NAJ720926 NKF720926 NUB720926 ODX720926 ONT720926 OXP720926 PHL720926 PRH720926 QBD720926 QKZ720926 QUV720926 RER720926 RON720926 RYJ720926 SIF720926 SSB720926 TBX720926 TLT720926 TVP720926 UFL720926 UPH720926 UZD720926 VIZ720926 VSV720926 WCR720926 WMN720926 UZD983070 JX786462 TT786462 ADP786462 ANL786462 AXH786462 BHD786462 BQZ786462 CAV786462 CKR786462 CUN786462 DEJ786462 DOF786462 DYB786462 EHX786462 ERT786462 FBP786462 FLL786462 FVH786462 GFD786462 GOZ786462 GYV786462 HIR786462 HSN786462 ICJ786462 IMF786462 IWB786462 JFX786462 JPT786462 JZP786462 KJL786462 KTH786462 LDD786462 LMZ786462 LWV786462 MGR786462 MQN786462 NAJ786462 NKF786462 NUB786462 ODX786462 ONT786462 OXP786462 PHL786462 PRH786462 QBD786462 QKZ786462 QUV786462 RER786462 RON786462 RYJ786462 SIF786462 SSB786462 TBX786462 TLT786462 TVP786462 UFL786462 UPH786462 UZD786462 VIZ786462 VSV786462 WCR786462 WMN786462 VIZ983070 JX851998 TT851998 ADP851998 ANL851998 AXH851998 BHD851998 BQZ851998 CAV851998 CKR851998 CUN851998 DEJ851998 DOF851998 DYB851998 EHX851998 ERT851998 FBP851998 FLL851998 FVH851998 GFD851998 GOZ851998 GYV851998 HIR851998 HSN851998 ICJ851998 IMF851998 IWB851998 JFX851998 JPT851998 JZP851998 KJL851998 KTH851998 LDD851998 LMZ851998 LWV851998 MGR851998 MQN851998 NAJ851998 NKF851998 NUB851998 ODX851998 ONT851998 OXP851998 PHL851998 PRH851998 QBD851998 QKZ851998 QUV851998 RER851998 RON851998 RYJ851998 SIF851998 SSB851998 TBX851998 TLT851998 TVP851998 UFL851998 UPH851998 UZD851998 VIZ851998 VSV851998 WCR851998 WMN851998 VSV983070 JX917534 TT917534 ADP917534 ANL917534 AXH917534 BHD917534 BQZ917534 CAV917534 CKR917534 CUN917534 DEJ917534 DOF917534 DYB917534 EHX917534 ERT917534 FBP917534 FLL917534 FVH917534 GFD917534 GOZ917534 GYV917534 HIR917534 HSN917534 ICJ917534 IMF917534 IWB917534 JFX917534 JPT917534 JZP917534 KJL917534 KTH917534 LDD917534 LMZ917534 LWV917534 MGR917534 MQN917534 NAJ917534 NKF917534 NUB917534 ODX917534 ONT917534 OXP917534 PHL917534 PRH917534 QBD917534 QKZ917534 QUV917534 RER917534 RON917534 RYJ917534 SIF917534 SSB917534 TBX917534 TLT917534 TVP917534 UFL917534 UPH917534 UZD917534 VIZ917534 VSV917534 WCR917534 WMN917534 WCR983070 JX983070 TT983070 ADP983070 ANL983070 AXH983070 BHD983070 BQZ983070 CAV983070 CKR983070 CUN983070 DEJ983070 DOF983070 DYB983070 EHX983070 ERT983070 FBP983070 FLL983070 FVH983070 GFD983070 GOZ983070 GYV983070 HIR983070 HSN983070 ICJ983070 IMF983070 IWB983070 JFX983070 JPT983070 JZP983070 KJL983070 KTH983070 LDD983070 LMZ983070 LWV983070 MGR983070 MQN983070 NAJ983070 NKF983070 NUB983070 ODX983070 ONT983070 OXP983070 PHL983070 PRH983070 QBD983070 QKZ983070 C131102 C196638 C262174 C327710 C393246 C458782 C524318 C589854 C655390 C720926 C786462 C851998 C917534 C983070 A983070 A917534 A851998 A786462 A720926 A655390 A589854 A524318 A458782 A393246 A327710 A262174 A196638 A131102 A65566 C65566"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F983074:WNF983103 AT65570:AT65599 KP65570:KP65599 UL65570:UL65599 AEH65570:AEH65599 AOD65570:AOD65599 AXZ65570:AXZ65599 BHV65570:BHV65599 BRR65570:BRR65599 CBN65570:CBN65599 CLJ65570:CLJ65599 CVF65570:CVF65599 DFB65570:DFB65599 DOX65570:DOX65599 DYT65570:DYT65599 EIP65570:EIP65599 ESL65570:ESL65599 FCH65570:FCH65599 FMD65570:FMD65599 FVZ65570:FVZ65599 GFV65570:GFV65599 GPR65570:GPR65599 GZN65570:GZN65599 HJJ65570:HJJ65599 HTF65570:HTF65599 IDB65570:IDB65599 IMX65570:IMX65599 IWT65570:IWT65599 JGP65570:JGP65599 JQL65570:JQL65599 KAH65570:KAH65599 KKD65570:KKD65599 KTZ65570:KTZ65599 LDV65570:LDV65599 LNR65570:LNR65599 LXN65570:LXN65599 MHJ65570:MHJ65599 MRF65570:MRF65599 NBB65570:NBB65599 NKX65570:NKX65599 NUT65570:NUT65599 OEP65570:OEP65599 OOL65570:OOL65599 OYH65570:OYH65599 PID65570:PID65599 PRZ65570:PRZ65599 QBV65570:QBV65599 QLR65570:QLR65599 QVN65570:QVN65599 RFJ65570:RFJ65599 RPF65570:RPF65599 RZB65570:RZB65599 SIX65570:SIX65599 SST65570:SST65599 TCP65570:TCP65599 TML65570:TML65599 TWH65570:TWH65599 UGD65570:UGD65599 UPZ65570:UPZ65599 UZV65570:UZV65599 VJR65570:VJR65599 VTN65570:VTN65599 WDJ65570:WDJ65599 WNF65570:WNF65599 AT131106:AT131135 KP131106:KP131135 UL131106:UL131135 AEH131106:AEH131135 AOD131106:AOD131135 AXZ131106:AXZ131135 BHV131106:BHV131135 BRR131106:BRR131135 CBN131106:CBN131135 CLJ131106:CLJ131135 CVF131106:CVF131135 DFB131106:DFB131135 DOX131106:DOX131135 DYT131106:DYT131135 EIP131106:EIP131135 ESL131106:ESL131135 FCH131106:FCH131135 FMD131106:FMD131135 FVZ131106:FVZ131135 GFV131106:GFV131135 GPR131106:GPR131135 GZN131106:GZN131135 HJJ131106:HJJ131135 HTF131106:HTF131135 IDB131106:IDB131135 IMX131106:IMX131135 IWT131106:IWT131135 JGP131106:JGP131135 JQL131106:JQL131135 KAH131106:KAH131135 KKD131106:KKD131135 KTZ131106:KTZ131135 LDV131106:LDV131135 LNR131106:LNR131135 LXN131106:LXN131135 MHJ131106:MHJ131135 MRF131106:MRF131135 NBB131106:NBB131135 NKX131106:NKX131135 NUT131106:NUT131135 OEP131106:OEP131135 OOL131106:OOL131135 OYH131106:OYH131135 PID131106:PID131135 PRZ131106:PRZ131135 QBV131106:QBV131135 QLR131106:QLR131135 QVN131106:QVN131135 RFJ131106:RFJ131135 RPF131106:RPF131135 RZB131106:RZB131135 SIX131106:SIX131135 SST131106:SST131135 TCP131106:TCP131135 TML131106:TML131135 TWH131106:TWH131135 UGD131106:UGD131135 UPZ131106:UPZ131135 UZV131106:UZV131135 VJR131106:VJR131135 VTN131106:VTN131135 WDJ131106:WDJ131135 WNF131106:WNF131135 AT196642:AT196671 KP196642:KP196671 UL196642:UL196671 AEH196642:AEH196671 AOD196642:AOD196671 AXZ196642:AXZ196671 BHV196642:BHV196671 BRR196642:BRR196671 CBN196642:CBN196671 CLJ196642:CLJ196671 CVF196642:CVF196671 DFB196642:DFB196671 DOX196642:DOX196671 DYT196642:DYT196671 EIP196642:EIP196671 ESL196642:ESL196671 FCH196642:FCH196671 FMD196642:FMD196671 FVZ196642:FVZ196671 GFV196642:GFV196671 GPR196642:GPR196671 GZN196642:GZN196671 HJJ196642:HJJ196671 HTF196642:HTF196671 IDB196642:IDB196671 IMX196642:IMX196671 IWT196642:IWT196671 JGP196642:JGP196671 JQL196642:JQL196671 KAH196642:KAH196671 KKD196642:KKD196671 KTZ196642:KTZ196671 LDV196642:LDV196671 LNR196642:LNR196671 LXN196642:LXN196671 MHJ196642:MHJ196671 MRF196642:MRF196671 NBB196642:NBB196671 NKX196642:NKX196671 NUT196642:NUT196671 OEP196642:OEP196671 OOL196642:OOL196671 OYH196642:OYH196671 PID196642:PID196671 PRZ196642:PRZ196671 QBV196642:QBV196671 QLR196642:QLR196671 QVN196642:QVN196671 RFJ196642:RFJ196671 RPF196642:RPF196671 RZB196642:RZB196671 SIX196642:SIX196671 SST196642:SST196671 TCP196642:TCP196671 TML196642:TML196671 TWH196642:TWH196671 UGD196642:UGD196671 UPZ196642:UPZ196671 UZV196642:UZV196671 VJR196642:VJR196671 VTN196642:VTN196671 WDJ196642:WDJ196671 WNF196642:WNF196671 AT262178:AT262207 KP262178:KP262207 UL262178:UL262207 AEH262178:AEH262207 AOD262178:AOD262207 AXZ262178:AXZ262207 BHV262178:BHV262207 BRR262178:BRR262207 CBN262178:CBN262207 CLJ262178:CLJ262207 CVF262178:CVF262207 DFB262178:DFB262207 DOX262178:DOX262207 DYT262178:DYT262207 EIP262178:EIP262207 ESL262178:ESL262207 FCH262178:FCH262207 FMD262178:FMD262207 FVZ262178:FVZ262207 GFV262178:GFV262207 GPR262178:GPR262207 GZN262178:GZN262207 HJJ262178:HJJ262207 HTF262178:HTF262207 IDB262178:IDB262207 IMX262178:IMX262207 IWT262178:IWT262207 JGP262178:JGP262207 JQL262178:JQL262207 KAH262178:KAH262207 KKD262178:KKD262207 KTZ262178:KTZ262207 LDV262178:LDV262207 LNR262178:LNR262207 LXN262178:LXN262207 MHJ262178:MHJ262207 MRF262178:MRF262207 NBB262178:NBB262207 NKX262178:NKX262207 NUT262178:NUT262207 OEP262178:OEP262207 OOL262178:OOL262207 OYH262178:OYH262207 PID262178:PID262207 PRZ262178:PRZ262207 QBV262178:QBV262207 QLR262178:QLR262207 QVN262178:QVN262207 RFJ262178:RFJ262207 RPF262178:RPF262207 RZB262178:RZB262207 SIX262178:SIX262207 SST262178:SST262207 TCP262178:TCP262207 TML262178:TML262207 TWH262178:TWH262207 UGD262178:UGD262207 UPZ262178:UPZ262207 UZV262178:UZV262207 VJR262178:VJR262207 VTN262178:VTN262207 WDJ262178:WDJ262207 WNF262178:WNF262207 AT327714:AT327743 KP327714:KP327743 UL327714:UL327743 AEH327714:AEH327743 AOD327714:AOD327743 AXZ327714:AXZ327743 BHV327714:BHV327743 BRR327714:BRR327743 CBN327714:CBN327743 CLJ327714:CLJ327743 CVF327714:CVF327743 DFB327714:DFB327743 DOX327714:DOX327743 DYT327714:DYT327743 EIP327714:EIP327743 ESL327714:ESL327743 FCH327714:FCH327743 FMD327714:FMD327743 FVZ327714:FVZ327743 GFV327714:GFV327743 GPR327714:GPR327743 GZN327714:GZN327743 HJJ327714:HJJ327743 HTF327714:HTF327743 IDB327714:IDB327743 IMX327714:IMX327743 IWT327714:IWT327743 JGP327714:JGP327743 JQL327714:JQL327743 KAH327714:KAH327743 KKD327714:KKD327743 KTZ327714:KTZ327743 LDV327714:LDV327743 LNR327714:LNR327743 LXN327714:LXN327743 MHJ327714:MHJ327743 MRF327714:MRF327743 NBB327714:NBB327743 NKX327714:NKX327743 NUT327714:NUT327743 OEP327714:OEP327743 OOL327714:OOL327743 OYH327714:OYH327743 PID327714:PID327743 PRZ327714:PRZ327743 QBV327714:QBV327743 QLR327714:QLR327743 QVN327714:QVN327743 RFJ327714:RFJ327743 RPF327714:RPF327743 RZB327714:RZB327743 SIX327714:SIX327743 SST327714:SST327743 TCP327714:TCP327743 TML327714:TML327743 TWH327714:TWH327743 UGD327714:UGD327743 UPZ327714:UPZ327743 UZV327714:UZV327743 VJR327714:VJR327743 VTN327714:VTN327743 WDJ327714:WDJ327743 WNF327714:WNF327743 AT393250:AT393279 KP393250:KP393279 UL393250:UL393279 AEH393250:AEH393279 AOD393250:AOD393279 AXZ393250:AXZ393279 BHV393250:BHV393279 BRR393250:BRR393279 CBN393250:CBN393279 CLJ393250:CLJ393279 CVF393250:CVF393279 DFB393250:DFB393279 DOX393250:DOX393279 DYT393250:DYT393279 EIP393250:EIP393279 ESL393250:ESL393279 FCH393250:FCH393279 FMD393250:FMD393279 FVZ393250:FVZ393279 GFV393250:GFV393279 GPR393250:GPR393279 GZN393250:GZN393279 HJJ393250:HJJ393279 HTF393250:HTF393279 IDB393250:IDB393279 IMX393250:IMX393279 IWT393250:IWT393279 JGP393250:JGP393279 JQL393250:JQL393279 KAH393250:KAH393279 KKD393250:KKD393279 KTZ393250:KTZ393279 LDV393250:LDV393279 LNR393250:LNR393279 LXN393250:LXN393279 MHJ393250:MHJ393279 MRF393250:MRF393279 NBB393250:NBB393279 NKX393250:NKX393279 NUT393250:NUT393279 OEP393250:OEP393279 OOL393250:OOL393279 OYH393250:OYH393279 PID393250:PID393279 PRZ393250:PRZ393279 QBV393250:QBV393279 QLR393250:QLR393279 QVN393250:QVN393279 RFJ393250:RFJ393279 RPF393250:RPF393279 RZB393250:RZB393279 SIX393250:SIX393279 SST393250:SST393279 TCP393250:TCP393279 TML393250:TML393279 TWH393250:TWH393279 UGD393250:UGD393279 UPZ393250:UPZ393279 UZV393250:UZV393279 VJR393250:VJR393279 VTN393250:VTN393279 WDJ393250:WDJ393279 WNF393250:WNF393279 AT458786:AT458815 KP458786:KP458815 UL458786:UL458815 AEH458786:AEH458815 AOD458786:AOD458815 AXZ458786:AXZ458815 BHV458786:BHV458815 BRR458786:BRR458815 CBN458786:CBN458815 CLJ458786:CLJ458815 CVF458786:CVF458815 DFB458786:DFB458815 DOX458786:DOX458815 DYT458786:DYT458815 EIP458786:EIP458815 ESL458786:ESL458815 FCH458786:FCH458815 FMD458786:FMD458815 FVZ458786:FVZ458815 GFV458786:GFV458815 GPR458786:GPR458815 GZN458786:GZN458815 HJJ458786:HJJ458815 HTF458786:HTF458815 IDB458786:IDB458815 IMX458786:IMX458815 IWT458786:IWT458815 JGP458786:JGP458815 JQL458786:JQL458815 KAH458786:KAH458815 KKD458786:KKD458815 KTZ458786:KTZ458815 LDV458786:LDV458815 LNR458786:LNR458815 LXN458786:LXN458815 MHJ458786:MHJ458815 MRF458786:MRF458815 NBB458786:NBB458815 NKX458786:NKX458815 NUT458786:NUT458815 OEP458786:OEP458815 OOL458786:OOL458815 OYH458786:OYH458815 PID458786:PID458815 PRZ458786:PRZ458815 QBV458786:QBV458815 QLR458786:QLR458815 QVN458786:QVN458815 RFJ458786:RFJ458815 RPF458786:RPF458815 RZB458786:RZB458815 SIX458786:SIX458815 SST458786:SST458815 TCP458786:TCP458815 TML458786:TML458815 TWH458786:TWH458815 UGD458786:UGD458815 UPZ458786:UPZ458815 UZV458786:UZV458815 VJR458786:VJR458815 VTN458786:VTN458815 WDJ458786:WDJ458815 WNF458786:WNF458815 AT524322:AT524351 KP524322:KP524351 UL524322:UL524351 AEH524322:AEH524351 AOD524322:AOD524351 AXZ524322:AXZ524351 BHV524322:BHV524351 BRR524322:BRR524351 CBN524322:CBN524351 CLJ524322:CLJ524351 CVF524322:CVF524351 DFB524322:DFB524351 DOX524322:DOX524351 DYT524322:DYT524351 EIP524322:EIP524351 ESL524322:ESL524351 FCH524322:FCH524351 FMD524322:FMD524351 FVZ524322:FVZ524351 GFV524322:GFV524351 GPR524322:GPR524351 GZN524322:GZN524351 HJJ524322:HJJ524351 HTF524322:HTF524351 IDB524322:IDB524351 IMX524322:IMX524351 IWT524322:IWT524351 JGP524322:JGP524351 JQL524322:JQL524351 KAH524322:KAH524351 KKD524322:KKD524351 KTZ524322:KTZ524351 LDV524322:LDV524351 LNR524322:LNR524351 LXN524322:LXN524351 MHJ524322:MHJ524351 MRF524322:MRF524351 NBB524322:NBB524351 NKX524322:NKX524351 NUT524322:NUT524351 OEP524322:OEP524351 OOL524322:OOL524351 OYH524322:OYH524351 PID524322:PID524351 PRZ524322:PRZ524351 QBV524322:QBV524351 QLR524322:QLR524351 QVN524322:QVN524351 RFJ524322:RFJ524351 RPF524322:RPF524351 RZB524322:RZB524351 SIX524322:SIX524351 SST524322:SST524351 TCP524322:TCP524351 TML524322:TML524351 TWH524322:TWH524351 UGD524322:UGD524351 UPZ524322:UPZ524351 UZV524322:UZV524351 VJR524322:VJR524351 VTN524322:VTN524351 WDJ524322:WDJ524351 WNF524322:WNF524351 AT589858:AT589887 KP589858:KP589887 UL589858:UL589887 AEH589858:AEH589887 AOD589858:AOD589887 AXZ589858:AXZ589887 BHV589858:BHV589887 BRR589858:BRR589887 CBN589858:CBN589887 CLJ589858:CLJ589887 CVF589858:CVF589887 DFB589858:DFB589887 DOX589858:DOX589887 DYT589858:DYT589887 EIP589858:EIP589887 ESL589858:ESL589887 FCH589858:FCH589887 FMD589858:FMD589887 FVZ589858:FVZ589887 GFV589858:GFV589887 GPR589858:GPR589887 GZN589858:GZN589887 HJJ589858:HJJ589887 HTF589858:HTF589887 IDB589858:IDB589887 IMX589858:IMX589887 IWT589858:IWT589887 JGP589858:JGP589887 JQL589858:JQL589887 KAH589858:KAH589887 KKD589858:KKD589887 KTZ589858:KTZ589887 LDV589858:LDV589887 LNR589858:LNR589887 LXN589858:LXN589887 MHJ589858:MHJ589887 MRF589858:MRF589887 NBB589858:NBB589887 NKX589858:NKX589887 NUT589858:NUT589887 OEP589858:OEP589887 OOL589858:OOL589887 OYH589858:OYH589887 PID589858:PID589887 PRZ589858:PRZ589887 QBV589858:QBV589887 QLR589858:QLR589887 QVN589858:QVN589887 RFJ589858:RFJ589887 RPF589858:RPF589887 RZB589858:RZB589887 SIX589858:SIX589887 SST589858:SST589887 TCP589858:TCP589887 TML589858:TML589887 TWH589858:TWH589887 UGD589858:UGD589887 UPZ589858:UPZ589887 UZV589858:UZV589887 VJR589858:VJR589887 VTN589858:VTN589887 WDJ589858:WDJ589887 WNF589858:WNF589887 AT655394:AT655423 KP655394:KP655423 UL655394:UL655423 AEH655394:AEH655423 AOD655394:AOD655423 AXZ655394:AXZ655423 BHV655394:BHV655423 BRR655394:BRR655423 CBN655394:CBN655423 CLJ655394:CLJ655423 CVF655394:CVF655423 DFB655394:DFB655423 DOX655394:DOX655423 DYT655394:DYT655423 EIP655394:EIP655423 ESL655394:ESL655423 FCH655394:FCH655423 FMD655394:FMD655423 FVZ655394:FVZ655423 GFV655394:GFV655423 GPR655394:GPR655423 GZN655394:GZN655423 HJJ655394:HJJ655423 HTF655394:HTF655423 IDB655394:IDB655423 IMX655394:IMX655423 IWT655394:IWT655423 JGP655394:JGP655423 JQL655394:JQL655423 KAH655394:KAH655423 KKD655394:KKD655423 KTZ655394:KTZ655423 LDV655394:LDV655423 LNR655394:LNR655423 LXN655394:LXN655423 MHJ655394:MHJ655423 MRF655394:MRF655423 NBB655394:NBB655423 NKX655394:NKX655423 NUT655394:NUT655423 OEP655394:OEP655423 OOL655394:OOL655423 OYH655394:OYH655423 PID655394:PID655423 PRZ655394:PRZ655423 QBV655394:QBV655423 QLR655394:QLR655423 QVN655394:QVN655423 RFJ655394:RFJ655423 RPF655394:RPF655423 RZB655394:RZB655423 SIX655394:SIX655423 SST655394:SST655423 TCP655394:TCP655423 TML655394:TML655423 TWH655394:TWH655423 UGD655394:UGD655423 UPZ655394:UPZ655423 UZV655394:UZV655423 VJR655394:VJR655423 VTN655394:VTN655423 WDJ655394:WDJ655423 WNF655394:WNF655423 AT720930:AT720959 KP720930:KP720959 UL720930:UL720959 AEH720930:AEH720959 AOD720930:AOD720959 AXZ720930:AXZ720959 BHV720930:BHV720959 BRR720930:BRR720959 CBN720930:CBN720959 CLJ720930:CLJ720959 CVF720930:CVF720959 DFB720930:DFB720959 DOX720930:DOX720959 DYT720930:DYT720959 EIP720930:EIP720959 ESL720930:ESL720959 FCH720930:FCH720959 FMD720930:FMD720959 FVZ720930:FVZ720959 GFV720930:GFV720959 GPR720930:GPR720959 GZN720930:GZN720959 HJJ720930:HJJ720959 HTF720930:HTF720959 IDB720930:IDB720959 IMX720930:IMX720959 IWT720930:IWT720959 JGP720930:JGP720959 JQL720930:JQL720959 KAH720930:KAH720959 KKD720930:KKD720959 KTZ720930:KTZ720959 LDV720930:LDV720959 LNR720930:LNR720959 LXN720930:LXN720959 MHJ720930:MHJ720959 MRF720930:MRF720959 NBB720930:NBB720959 NKX720930:NKX720959 NUT720930:NUT720959 OEP720930:OEP720959 OOL720930:OOL720959 OYH720930:OYH720959 PID720930:PID720959 PRZ720930:PRZ720959 QBV720930:QBV720959 QLR720930:QLR720959 QVN720930:QVN720959 RFJ720930:RFJ720959 RPF720930:RPF720959 RZB720930:RZB720959 SIX720930:SIX720959 SST720930:SST720959 TCP720930:TCP720959 TML720930:TML720959 TWH720930:TWH720959 UGD720930:UGD720959 UPZ720930:UPZ720959 UZV720930:UZV720959 VJR720930:VJR720959 VTN720930:VTN720959 WDJ720930:WDJ720959 WNF720930:WNF720959 AT786466:AT786495 KP786466:KP786495 UL786466:UL786495 AEH786466:AEH786495 AOD786466:AOD786495 AXZ786466:AXZ786495 BHV786466:BHV786495 BRR786466:BRR786495 CBN786466:CBN786495 CLJ786466:CLJ786495 CVF786466:CVF786495 DFB786466:DFB786495 DOX786466:DOX786495 DYT786466:DYT786495 EIP786466:EIP786495 ESL786466:ESL786495 FCH786466:FCH786495 FMD786466:FMD786495 FVZ786466:FVZ786495 GFV786466:GFV786495 GPR786466:GPR786495 GZN786466:GZN786495 HJJ786466:HJJ786495 HTF786466:HTF786495 IDB786466:IDB786495 IMX786466:IMX786495 IWT786466:IWT786495 JGP786466:JGP786495 JQL786466:JQL786495 KAH786466:KAH786495 KKD786466:KKD786495 KTZ786466:KTZ786495 LDV786466:LDV786495 LNR786466:LNR786495 LXN786466:LXN786495 MHJ786466:MHJ786495 MRF786466:MRF786495 NBB786466:NBB786495 NKX786466:NKX786495 NUT786466:NUT786495 OEP786466:OEP786495 OOL786466:OOL786495 OYH786466:OYH786495 PID786466:PID786495 PRZ786466:PRZ786495 QBV786466:QBV786495 QLR786466:QLR786495 QVN786466:QVN786495 RFJ786466:RFJ786495 RPF786466:RPF786495 RZB786466:RZB786495 SIX786466:SIX786495 SST786466:SST786495 TCP786466:TCP786495 TML786466:TML786495 TWH786466:TWH786495 UGD786466:UGD786495 UPZ786466:UPZ786495 UZV786466:UZV786495 VJR786466:VJR786495 VTN786466:VTN786495 WDJ786466:WDJ786495 WNF786466:WNF786495 AT852002:AT852031 KP852002:KP852031 UL852002:UL852031 AEH852002:AEH852031 AOD852002:AOD852031 AXZ852002:AXZ852031 BHV852002:BHV852031 BRR852002:BRR852031 CBN852002:CBN852031 CLJ852002:CLJ852031 CVF852002:CVF852031 DFB852002:DFB852031 DOX852002:DOX852031 DYT852002:DYT852031 EIP852002:EIP852031 ESL852002:ESL852031 FCH852002:FCH852031 FMD852002:FMD852031 FVZ852002:FVZ852031 GFV852002:GFV852031 GPR852002:GPR852031 GZN852002:GZN852031 HJJ852002:HJJ852031 HTF852002:HTF852031 IDB852002:IDB852031 IMX852002:IMX852031 IWT852002:IWT852031 JGP852002:JGP852031 JQL852002:JQL852031 KAH852002:KAH852031 KKD852002:KKD852031 KTZ852002:KTZ852031 LDV852002:LDV852031 LNR852002:LNR852031 LXN852002:LXN852031 MHJ852002:MHJ852031 MRF852002:MRF852031 NBB852002:NBB852031 NKX852002:NKX852031 NUT852002:NUT852031 OEP852002:OEP852031 OOL852002:OOL852031 OYH852002:OYH852031 PID852002:PID852031 PRZ852002:PRZ852031 QBV852002:QBV852031 QLR852002:QLR852031 QVN852002:QVN852031 RFJ852002:RFJ852031 RPF852002:RPF852031 RZB852002:RZB852031 SIX852002:SIX852031 SST852002:SST852031 TCP852002:TCP852031 TML852002:TML852031 TWH852002:TWH852031 UGD852002:UGD852031 UPZ852002:UPZ852031 UZV852002:UZV852031 VJR852002:VJR852031 VTN852002:VTN852031 WDJ852002:WDJ852031 WNF852002:WNF852031 AT917538:AT917567 KP917538:KP917567 UL917538:UL917567 AEH917538:AEH917567 AOD917538:AOD917567 AXZ917538:AXZ917567 BHV917538:BHV917567 BRR917538:BRR917567 CBN917538:CBN917567 CLJ917538:CLJ917567 CVF917538:CVF917567 DFB917538:DFB917567 DOX917538:DOX917567 DYT917538:DYT917567 EIP917538:EIP917567 ESL917538:ESL917567 FCH917538:FCH917567 FMD917538:FMD917567 FVZ917538:FVZ917567 GFV917538:GFV917567 GPR917538:GPR917567 GZN917538:GZN917567 HJJ917538:HJJ917567 HTF917538:HTF917567 IDB917538:IDB917567 IMX917538:IMX917567 IWT917538:IWT917567 JGP917538:JGP917567 JQL917538:JQL917567 KAH917538:KAH917567 KKD917538:KKD917567 KTZ917538:KTZ917567 LDV917538:LDV917567 LNR917538:LNR917567 LXN917538:LXN917567 MHJ917538:MHJ917567 MRF917538:MRF917567 NBB917538:NBB917567 NKX917538:NKX917567 NUT917538:NUT917567 OEP917538:OEP917567 OOL917538:OOL917567 OYH917538:OYH917567 PID917538:PID917567 PRZ917538:PRZ917567 QBV917538:QBV917567 QLR917538:QLR917567 QVN917538:QVN917567 RFJ917538:RFJ917567 RPF917538:RPF917567 RZB917538:RZB917567 SIX917538:SIX917567 SST917538:SST917567 TCP917538:TCP917567 TML917538:TML917567 TWH917538:TWH917567 UGD917538:UGD917567 UPZ917538:UPZ917567 UZV917538:UZV917567 VJR917538:VJR917567 VTN917538:VTN917567 WDJ917538:WDJ917567 WNF917538:WNF917567 AT983074:AT983103 KP983074:KP983103 UL983074:UL983103 AEH983074:AEH983103 AOD983074:AOD983103 AXZ983074:AXZ983103 BHV983074:BHV983103 BRR983074:BRR983103 CBN983074:CBN983103 CLJ983074:CLJ983103 CVF983074:CVF983103 DFB983074:DFB983103 DOX983074:DOX983103 DYT983074:DYT983103 EIP983074:EIP983103 ESL983074:ESL983103 FCH983074:FCH983103 FMD983074:FMD983103 FVZ983074:FVZ983103 GFV983074:GFV983103 GPR983074:GPR983103 GZN983074:GZN983103 HJJ983074:HJJ983103 HTF983074:HTF983103 IDB983074:IDB983103 IMX983074:IMX983103 IWT983074:IWT983103 JGP983074:JGP983103 JQL983074:JQL983103 KAH983074:KAH983103 KKD983074:KKD983103 KTZ983074:KTZ983103 LDV983074:LDV983103 LNR983074:LNR983103 LXN983074:LXN983103 MHJ983074:MHJ983103 MRF983074:MRF983103 NBB983074:NBB983103 NKX983074:NKX983103 NUT983074:NUT983103 OEP983074:OEP983103 OOL983074:OOL983103 OYH983074:OYH983103 PID983074:PID983103 PRZ983074:PRZ983103 QBV983074:QBV983103 QLR983074:QLR983103 QVN983074:QVN983103 RFJ983074:RFJ983103 RPF983074:RPF983103 RZB983074:RZB983103 SIX983074:SIX983103 SST983074:SST983103 TCP983074:TCP983103 TML983074:TML983103 TWH983074:TWH983103 UGD983074:UGD983103 UPZ983074:UPZ983103 UZV983074:UZV983103 VJR983074:VJR983103 VTN983074:VTN983103 WDJ983074:WDJ983103 UPV7:UPV66 UZR7:UZR66 VJN7:VJN66 WDF7:WDF66 WNB7:WNB66 VTJ7:VTJ66 AP7:AP66 KL7:KL66 UH7:UH66 AED7:AED66 ANZ7:ANZ66 AXV7:AXV66 BHR7:BHR66 BRN7:BRN66 CBJ7:CBJ66 CLF7:CLF66 CVB7:CVB66 DEX7:DEX66 DOT7:DOT66 DYP7:DYP66 EIL7:EIL66 ESH7:ESH66 FCD7:FCD66 FLZ7:FLZ66 FVV7:FVV66 GFR7:GFR66 GPN7:GPN66 GZJ7:GZJ66 HJF7:HJF66 HTB7:HTB66 ICX7:ICX66 IMT7:IMT66 IWP7:IWP66 JGL7:JGL66 JQH7:JQH66 KAD7:KAD66 KJZ7:KJZ66 KTV7:KTV66 LDR7:LDR66 LNN7:LNN66 LXJ7:LXJ66 MHF7:MHF66 MRB7:MRB66 NAX7:NAX66 NKT7:NKT66 NUP7:NUP66 OEL7:OEL66 OOH7:OOH66 OYD7:OYD66 PHZ7:PHZ66 PRV7:PRV66 QBR7:QBR66 QLN7:QLN66 QVJ7:QVJ66 RFF7:RFF66 RPB7:RPB66 RYX7:RYX66 SIT7:SIT66 SSP7:SSP66 TCL7:TCL66 TMH7:TMH66 TWD7:TWD66 UFZ7:UFZ66" xr:uid="{855F6B68-028B-4980-B22A-8A39AD64CF66}">
      <formula1>"สมเด็จ, มานพ, นิคม, คลองเตย,"</formula1>
    </dataValidation>
    <dataValidation type="list" allowBlank="1" showInputMessage="1" showErrorMessage="1" sqref="WNE983074:WNE983103 AS65570:AS65599 KO65570:KO65599 UK65570:UK65599 AEG65570:AEG65599 AOC65570:AOC65599 AXY65570:AXY65599 BHU65570:BHU65599 BRQ65570:BRQ65599 CBM65570:CBM65599 CLI65570:CLI65599 CVE65570:CVE65599 DFA65570:DFA65599 DOW65570:DOW65599 DYS65570:DYS65599 EIO65570:EIO65599 ESK65570:ESK65599 FCG65570:FCG65599 FMC65570:FMC65599 FVY65570:FVY65599 GFU65570:GFU65599 GPQ65570:GPQ65599 GZM65570:GZM65599 HJI65570:HJI65599 HTE65570:HTE65599 IDA65570:IDA65599 IMW65570:IMW65599 IWS65570:IWS65599 JGO65570:JGO65599 JQK65570:JQK65599 KAG65570:KAG65599 KKC65570:KKC65599 KTY65570:KTY65599 LDU65570:LDU65599 LNQ65570:LNQ65599 LXM65570:LXM65599 MHI65570:MHI65599 MRE65570:MRE65599 NBA65570:NBA65599 NKW65570:NKW65599 NUS65570:NUS65599 OEO65570:OEO65599 OOK65570:OOK65599 OYG65570:OYG65599 PIC65570:PIC65599 PRY65570:PRY65599 QBU65570:QBU65599 QLQ65570:QLQ65599 QVM65570:QVM65599 RFI65570:RFI65599 RPE65570:RPE65599 RZA65570:RZA65599 SIW65570:SIW65599 SSS65570:SSS65599 TCO65570:TCO65599 TMK65570:TMK65599 TWG65570:TWG65599 UGC65570:UGC65599 UPY65570:UPY65599 UZU65570:UZU65599 VJQ65570:VJQ65599 VTM65570:VTM65599 WDI65570:WDI65599 WNE65570:WNE65599 AS131106:AS131135 KO131106:KO131135 UK131106:UK131135 AEG131106:AEG131135 AOC131106:AOC131135 AXY131106:AXY131135 BHU131106:BHU131135 BRQ131106:BRQ131135 CBM131106:CBM131135 CLI131106:CLI131135 CVE131106:CVE131135 DFA131106:DFA131135 DOW131106:DOW131135 DYS131106:DYS131135 EIO131106:EIO131135 ESK131106:ESK131135 FCG131106:FCG131135 FMC131106:FMC131135 FVY131106:FVY131135 GFU131106:GFU131135 GPQ131106:GPQ131135 GZM131106:GZM131135 HJI131106:HJI131135 HTE131106:HTE131135 IDA131106:IDA131135 IMW131106:IMW131135 IWS131106:IWS131135 JGO131106:JGO131135 JQK131106:JQK131135 KAG131106:KAG131135 KKC131106:KKC131135 KTY131106:KTY131135 LDU131106:LDU131135 LNQ131106:LNQ131135 LXM131106:LXM131135 MHI131106:MHI131135 MRE131106:MRE131135 NBA131106:NBA131135 NKW131106:NKW131135 NUS131106:NUS131135 OEO131106:OEO131135 OOK131106:OOK131135 OYG131106:OYG131135 PIC131106:PIC131135 PRY131106:PRY131135 QBU131106:QBU131135 QLQ131106:QLQ131135 QVM131106:QVM131135 RFI131106:RFI131135 RPE131106:RPE131135 RZA131106:RZA131135 SIW131106:SIW131135 SSS131106:SSS131135 TCO131106:TCO131135 TMK131106:TMK131135 TWG131106:TWG131135 UGC131106:UGC131135 UPY131106:UPY131135 UZU131106:UZU131135 VJQ131106:VJQ131135 VTM131106:VTM131135 WDI131106:WDI131135 WNE131106:WNE131135 AS196642:AS196671 KO196642:KO196671 UK196642:UK196671 AEG196642:AEG196671 AOC196642:AOC196671 AXY196642:AXY196671 BHU196642:BHU196671 BRQ196642:BRQ196671 CBM196642:CBM196671 CLI196642:CLI196671 CVE196642:CVE196671 DFA196642:DFA196671 DOW196642:DOW196671 DYS196642:DYS196671 EIO196642:EIO196671 ESK196642:ESK196671 FCG196642:FCG196671 FMC196642:FMC196671 FVY196642:FVY196671 GFU196642:GFU196671 GPQ196642:GPQ196671 GZM196642:GZM196671 HJI196642:HJI196671 HTE196642:HTE196671 IDA196642:IDA196671 IMW196642:IMW196671 IWS196642:IWS196671 JGO196642:JGO196671 JQK196642:JQK196671 KAG196642:KAG196671 KKC196642:KKC196671 KTY196642:KTY196671 LDU196642:LDU196671 LNQ196642:LNQ196671 LXM196642:LXM196671 MHI196642:MHI196671 MRE196642:MRE196671 NBA196642:NBA196671 NKW196642:NKW196671 NUS196642:NUS196671 OEO196642:OEO196671 OOK196642:OOK196671 OYG196642:OYG196671 PIC196642:PIC196671 PRY196642:PRY196671 QBU196642:QBU196671 QLQ196642:QLQ196671 QVM196642:QVM196671 RFI196642:RFI196671 RPE196642:RPE196671 RZA196642:RZA196671 SIW196642:SIW196671 SSS196642:SSS196671 TCO196642:TCO196671 TMK196642:TMK196671 TWG196642:TWG196671 UGC196642:UGC196671 UPY196642:UPY196671 UZU196642:UZU196671 VJQ196642:VJQ196671 VTM196642:VTM196671 WDI196642:WDI196671 WNE196642:WNE196671 AS262178:AS262207 KO262178:KO262207 UK262178:UK262207 AEG262178:AEG262207 AOC262178:AOC262207 AXY262178:AXY262207 BHU262178:BHU262207 BRQ262178:BRQ262207 CBM262178:CBM262207 CLI262178:CLI262207 CVE262178:CVE262207 DFA262178:DFA262207 DOW262178:DOW262207 DYS262178:DYS262207 EIO262178:EIO262207 ESK262178:ESK262207 FCG262178:FCG262207 FMC262178:FMC262207 FVY262178:FVY262207 GFU262178:GFU262207 GPQ262178:GPQ262207 GZM262178:GZM262207 HJI262178:HJI262207 HTE262178:HTE262207 IDA262178:IDA262207 IMW262178:IMW262207 IWS262178:IWS262207 JGO262178:JGO262207 JQK262178:JQK262207 KAG262178:KAG262207 KKC262178:KKC262207 KTY262178:KTY262207 LDU262178:LDU262207 LNQ262178:LNQ262207 LXM262178:LXM262207 MHI262178:MHI262207 MRE262178:MRE262207 NBA262178:NBA262207 NKW262178:NKW262207 NUS262178:NUS262207 OEO262178:OEO262207 OOK262178:OOK262207 OYG262178:OYG262207 PIC262178:PIC262207 PRY262178:PRY262207 QBU262178:QBU262207 QLQ262178:QLQ262207 QVM262178:QVM262207 RFI262178:RFI262207 RPE262178:RPE262207 RZA262178:RZA262207 SIW262178:SIW262207 SSS262178:SSS262207 TCO262178:TCO262207 TMK262178:TMK262207 TWG262178:TWG262207 UGC262178:UGC262207 UPY262178:UPY262207 UZU262178:UZU262207 VJQ262178:VJQ262207 VTM262178:VTM262207 WDI262178:WDI262207 WNE262178:WNE262207 AS327714:AS327743 KO327714:KO327743 UK327714:UK327743 AEG327714:AEG327743 AOC327714:AOC327743 AXY327714:AXY327743 BHU327714:BHU327743 BRQ327714:BRQ327743 CBM327714:CBM327743 CLI327714:CLI327743 CVE327714:CVE327743 DFA327714:DFA327743 DOW327714:DOW327743 DYS327714:DYS327743 EIO327714:EIO327743 ESK327714:ESK327743 FCG327714:FCG327743 FMC327714:FMC327743 FVY327714:FVY327743 GFU327714:GFU327743 GPQ327714:GPQ327743 GZM327714:GZM327743 HJI327714:HJI327743 HTE327714:HTE327743 IDA327714:IDA327743 IMW327714:IMW327743 IWS327714:IWS327743 JGO327714:JGO327743 JQK327714:JQK327743 KAG327714:KAG327743 KKC327714:KKC327743 KTY327714:KTY327743 LDU327714:LDU327743 LNQ327714:LNQ327743 LXM327714:LXM327743 MHI327714:MHI327743 MRE327714:MRE327743 NBA327714:NBA327743 NKW327714:NKW327743 NUS327714:NUS327743 OEO327714:OEO327743 OOK327714:OOK327743 OYG327714:OYG327743 PIC327714:PIC327743 PRY327714:PRY327743 QBU327714:QBU327743 QLQ327714:QLQ327743 QVM327714:QVM327743 RFI327714:RFI327743 RPE327714:RPE327743 RZA327714:RZA327743 SIW327714:SIW327743 SSS327714:SSS327743 TCO327714:TCO327743 TMK327714:TMK327743 TWG327714:TWG327743 UGC327714:UGC327743 UPY327714:UPY327743 UZU327714:UZU327743 VJQ327714:VJQ327743 VTM327714:VTM327743 WDI327714:WDI327743 WNE327714:WNE327743 AS393250:AS393279 KO393250:KO393279 UK393250:UK393279 AEG393250:AEG393279 AOC393250:AOC393279 AXY393250:AXY393279 BHU393250:BHU393279 BRQ393250:BRQ393279 CBM393250:CBM393279 CLI393250:CLI393279 CVE393250:CVE393279 DFA393250:DFA393279 DOW393250:DOW393279 DYS393250:DYS393279 EIO393250:EIO393279 ESK393250:ESK393279 FCG393250:FCG393279 FMC393250:FMC393279 FVY393250:FVY393279 GFU393250:GFU393279 GPQ393250:GPQ393279 GZM393250:GZM393279 HJI393250:HJI393279 HTE393250:HTE393279 IDA393250:IDA393279 IMW393250:IMW393279 IWS393250:IWS393279 JGO393250:JGO393279 JQK393250:JQK393279 KAG393250:KAG393279 KKC393250:KKC393279 KTY393250:KTY393279 LDU393250:LDU393279 LNQ393250:LNQ393279 LXM393250:LXM393279 MHI393250:MHI393279 MRE393250:MRE393279 NBA393250:NBA393279 NKW393250:NKW393279 NUS393250:NUS393279 OEO393250:OEO393279 OOK393250:OOK393279 OYG393250:OYG393279 PIC393250:PIC393279 PRY393250:PRY393279 QBU393250:QBU393279 QLQ393250:QLQ393279 QVM393250:QVM393279 RFI393250:RFI393279 RPE393250:RPE393279 RZA393250:RZA393279 SIW393250:SIW393279 SSS393250:SSS393279 TCO393250:TCO393279 TMK393250:TMK393279 TWG393250:TWG393279 UGC393250:UGC393279 UPY393250:UPY393279 UZU393250:UZU393279 VJQ393250:VJQ393279 VTM393250:VTM393279 WDI393250:WDI393279 WNE393250:WNE393279 AS458786:AS458815 KO458786:KO458815 UK458786:UK458815 AEG458786:AEG458815 AOC458786:AOC458815 AXY458786:AXY458815 BHU458786:BHU458815 BRQ458786:BRQ458815 CBM458786:CBM458815 CLI458786:CLI458815 CVE458786:CVE458815 DFA458786:DFA458815 DOW458786:DOW458815 DYS458786:DYS458815 EIO458786:EIO458815 ESK458786:ESK458815 FCG458786:FCG458815 FMC458786:FMC458815 FVY458786:FVY458815 GFU458786:GFU458815 GPQ458786:GPQ458815 GZM458786:GZM458815 HJI458786:HJI458815 HTE458786:HTE458815 IDA458786:IDA458815 IMW458786:IMW458815 IWS458786:IWS458815 JGO458786:JGO458815 JQK458786:JQK458815 KAG458786:KAG458815 KKC458786:KKC458815 KTY458786:KTY458815 LDU458786:LDU458815 LNQ458786:LNQ458815 LXM458786:LXM458815 MHI458786:MHI458815 MRE458786:MRE458815 NBA458786:NBA458815 NKW458786:NKW458815 NUS458786:NUS458815 OEO458786:OEO458815 OOK458786:OOK458815 OYG458786:OYG458815 PIC458786:PIC458815 PRY458786:PRY458815 QBU458786:QBU458815 QLQ458786:QLQ458815 QVM458786:QVM458815 RFI458786:RFI458815 RPE458786:RPE458815 RZA458786:RZA458815 SIW458786:SIW458815 SSS458786:SSS458815 TCO458786:TCO458815 TMK458786:TMK458815 TWG458786:TWG458815 UGC458786:UGC458815 UPY458786:UPY458815 UZU458786:UZU458815 VJQ458786:VJQ458815 VTM458786:VTM458815 WDI458786:WDI458815 WNE458786:WNE458815 AS524322:AS524351 KO524322:KO524351 UK524322:UK524351 AEG524322:AEG524351 AOC524322:AOC524351 AXY524322:AXY524351 BHU524322:BHU524351 BRQ524322:BRQ524351 CBM524322:CBM524351 CLI524322:CLI524351 CVE524322:CVE524351 DFA524322:DFA524351 DOW524322:DOW524351 DYS524322:DYS524351 EIO524322:EIO524351 ESK524322:ESK524351 FCG524322:FCG524351 FMC524322:FMC524351 FVY524322:FVY524351 GFU524322:GFU524351 GPQ524322:GPQ524351 GZM524322:GZM524351 HJI524322:HJI524351 HTE524322:HTE524351 IDA524322:IDA524351 IMW524322:IMW524351 IWS524322:IWS524351 JGO524322:JGO524351 JQK524322:JQK524351 KAG524322:KAG524351 KKC524322:KKC524351 KTY524322:KTY524351 LDU524322:LDU524351 LNQ524322:LNQ524351 LXM524322:LXM524351 MHI524322:MHI524351 MRE524322:MRE524351 NBA524322:NBA524351 NKW524322:NKW524351 NUS524322:NUS524351 OEO524322:OEO524351 OOK524322:OOK524351 OYG524322:OYG524351 PIC524322:PIC524351 PRY524322:PRY524351 QBU524322:QBU524351 QLQ524322:QLQ524351 QVM524322:QVM524351 RFI524322:RFI524351 RPE524322:RPE524351 RZA524322:RZA524351 SIW524322:SIW524351 SSS524322:SSS524351 TCO524322:TCO524351 TMK524322:TMK524351 TWG524322:TWG524351 UGC524322:UGC524351 UPY524322:UPY524351 UZU524322:UZU524351 VJQ524322:VJQ524351 VTM524322:VTM524351 WDI524322:WDI524351 WNE524322:WNE524351 AS589858:AS589887 KO589858:KO589887 UK589858:UK589887 AEG589858:AEG589887 AOC589858:AOC589887 AXY589858:AXY589887 BHU589858:BHU589887 BRQ589858:BRQ589887 CBM589858:CBM589887 CLI589858:CLI589887 CVE589858:CVE589887 DFA589858:DFA589887 DOW589858:DOW589887 DYS589858:DYS589887 EIO589858:EIO589887 ESK589858:ESK589887 FCG589858:FCG589887 FMC589858:FMC589887 FVY589858:FVY589887 GFU589858:GFU589887 GPQ589858:GPQ589887 GZM589858:GZM589887 HJI589858:HJI589887 HTE589858:HTE589887 IDA589858:IDA589887 IMW589858:IMW589887 IWS589858:IWS589887 JGO589858:JGO589887 JQK589858:JQK589887 KAG589858:KAG589887 KKC589858:KKC589887 KTY589858:KTY589887 LDU589858:LDU589887 LNQ589858:LNQ589887 LXM589858:LXM589887 MHI589858:MHI589887 MRE589858:MRE589887 NBA589858:NBA589887 NKW589858:NKW589887 NUS589858:NUS589887 OEO589858:OEO589887 OOK589858:OOK589887 OYG589858:OYG589887 PIC589858:PIC589887 PRY589858:PRY589887 QBU589858:QBU589887 QLQ589858:QLQ589887 QVM589858:QVM589887 RFI589858:RFI589887 RPE589858:RPE589887 RZA589858:RZA589887 SIW589858:SIW589887 SSS589858:SSS589887 TCO589858:TCO589887 TMK589858:TMK589887 TWG589858:TWG589887 UGC589858:UGC589887 UPY589858:UPY589887 UZU589858:UZU589887 VJQ589858:VJQ589887 VTM589858:VTM589887 WDI589858:WDI589887 WNE589858:WNE589887 AS655394:AS655423 KO655394:KO655423 UK655394:UK655423 AEG655394:AEG655423 AOC655394:AOC655423 AXY655394:AXY655423 BHU655394:BHU655423 BRQ655394:BRQ655423 CBM655394:CBM655423 CLI655394:CLI655423 CVE655394:CVE655423 DFA655394:DFA655423 DOW655394:DOW655423 DYS655394:DYS655423 EIO655394:EIO655423 ESK655394:ESK655423 FCG655394:FCG655423 FMC655394:FMC655423 FVY655394:FVY655423 GFU655394:GFU655423 GPQ655394:GPQ655423 GZM655394:GZM655423 HJI655394:HJI655423 HTE655394:HTE655423 IDA655394:IDA655423 IMW655394:IMW655423 IWS655394:IWS655423 JGO655394:JGO655423 JQK655394:JQK655423 KAG655394:KAG655423 KKC655394:KKC655423 KTY655394:KTY655423 LDU655394:LDU655423 LNQ655394:LNQ655423 LXM655394:LXM655423 MHI655394:MHI655423 MRE655394:MRE655423 NBA655394:NBA655423 NKW655394:NKW655423 NUS655394:NUS655423 OEO655394:OEO655423 OOK655394:OOK655423 OYG655394:OYG655423 PIC655394:PIC655423 PRY655394:PRY655423 QBU655394:QBU655423 QLQ655394:QLQ655423 QVM655394:QVM655423 RFI655394:RFI655423 RPE655394:RPE655423 RZA655394:RZA655423 SIW655394:SIW655423 SSS655394:SSS655423 TCO655394:TCO655423 TMK655394:TMK655423 TWG655394:TWG655423 UGC655394:UGC655423 UPY655394:UPY655423 UZU655394:UZU655423 VJQ655394:VJQ655423 VTM655394:VTM655423 WDI655394:WDI655423 WNE655394:WNE655423 AS720930:AS720959 KO720930:KO720959 UK720930:UK720959 AEG720930:AEG720959 AOC720930:AOC720959 AXY720930:AXY720959 BHU720930:BHU720959 BRQ720930:BRQ720959 CBM720930:CBM720959 CLI720930:CLI720959 CVE720930:CVE720959 DFA720930:DFA720959 DOW720930:DOW720959 DYS720930:DYS720959 EIO720930:EIO720959 ESK720930:ESK720959 FCG720930:FCG720959 FMC720930:FMC720959 FVY720930:FVY720959 GFU720930:GFU720959 GPQ720930:GPQ720959 GZM720930:GZM720959 HJI720930:HJI720959 HTE720930:HTE720959 IDA720930:IDA720959 IMW720930:IMW720959 IWS720930:IWS720959 JGO720930:JGO720959 JQK720930:JQK720959 KAG720930:KAG720959 KKC720930:KKC720959 KTY720930:KTY720959 LDU720930:LDU720959 LNQ720930:LNQ720959 LXM720930:LXM720959 MHI720930:MHI720959 MRE720930:MRE720959 NBA720930:NBA720959 NKW720930:NKW720959 NUS720930:NUS720959 OEO720930:OEO720959 OOK720930:OOK720959 OYG720930:OYG720959 PIC720930:PIC720959 PRY720930:PRY720959 QBU720930:QBU720959 QLQ720930:QLQ720959 QVM720930:QVM720959 RFI720930:RFI720959 RPE720930:RPE720959 RZA720930:RZA720959 SIW720930:SIW720959 SSS720930:SSS720959 TCO720930:TCO720959 TMK720930:TMK720959 TWG720930:TWG720959 UGC720930:UGC720959 UPY720930:UPY720959 UZU720930:UZU720959 VJQ720930:VJQ720959 VTM720930:VTM720959 WDI720930:WDI720959 WNE720930:WNE720959 AS786466:AS786495 KO786466:KO786495 UK786466:UK786495 AEG786466:AEG786495 AOC786466:AOC786495 AXY786466:AXY786495 BHU786466:BHU786495 BRQ786466:BRQ786495 CBM786466:CBM786495 CLI786466:CLI786495 CVE786466:CVE786495 DFA786466:DFA786495 DOW786466:DOW786495 DYS786466:DYS786495 EIO786466:EIO786495 ESK786466:ESK786495 FCG786466:FCG786495 FMC786466:FMC786495 FVY786466:FVY786495 GFU786466:GFU786495 GPQ786466:GPQ786495 GZM786466:GZM786495 HJI786466:HJI786495 HTE786466:HTE786495 IDA786466:IDA786495 IMW786466:IMW786495 IWS786466:IWS786495 JGO786466:JGO786495 JQK786466:JQK786495 KAG786466:KAG786495 KKC786466:KKC786495 KTY786466:KTY786495 LDU786466:LDU786495 LNQ786466:LNQ786495 LXM786466:LXM786495 MHI786466:MHI786495 MRE786466:MRE786495 NBA786466:NBA786495 NKW786466:NKW786495 NUS786466:NUS786495 OEO786466:OEO786495 OOK786466:OOK786495 OYG786466:OYG786495 PIC786466:PIC786495 PRY786466:PRY786495 QBU786466:QBU786495 QLQ786466:QLQ786495 QVM786466:QVM786495 RFI786466:RFI786495 RPE786466:RPE786495 RZA786466:RZA786495 SIW786466:SIW786495 SSS786466:SSS786495 TCO786466:TCO786495 TMK786466:TMK786495 TWG786466:TWG786495 UGC786466:UGC786495 UPY786466:UPY786495 UZU786466:UZU786495 VJQ786466:VJQ786495 VTM786466:VTM786495 WDI786466:WDI786495 WNE786466:WNE786495 AS852002:AS852031 KO852002:KO852031 UK852002:UK852031 AEG852002:AEG852031 AOC852002:AOC852031 AXY852002:AXY852031 BHU852002:BHU852031 BRQ852002:BRQ852031 CBM852002:CBM852031 CLI852002:CLI852031 CVE852002:CVE852031 DFA852002:DFA852031 DOW852002:DOW852031 DYS852002:DYS852031 EIO852002:EIO852031 ESK852002:ESK852031 FCG852002:FCG852031 FMC852002:FMC852031 FVY852002:FVY852031 GFU852002:GFU852031 GPQ852002:GPQ852031 GZM852002:GZM852031 HJI852002:HJI852031 HTE852002:HTE852031 IDA852002:IDA852031 IMW852002:IMW852031 IWS852002:IWS852031 JGO852002:JGO852031 JQK852002:JQK852031 KAG852002:KAG852031 KKC852002:KKC852031 KTY852002:KTY852031 LDU852002:LDU852031 LNQ852002:LNQ852031 LXM852002:LXM852031 MHI852002:MHI852031 MRE852002:MRE852031 NBA852002:NBA852031 NKW852002:NKW852031 NUS852002:NUS852031 OEO852002:OEO852031 OOK852002:OOK852031 OYG852002:OYG852031 PIC852002:PIC852031 PRY852002:PRY852031 QBU852002:QBU852031 QLQ852002:QLQ852031 QVM852002:QVM852031 RFI852002:RFI852031 RPE852002:RPE852031 RZA852002:RZA852031 SIW852002:SIW852031 SSS852002:SSS852031 TCO852002:TCO852031 TMK852002:TMK852031 TWG852002:TWG852031 UGC852002:UGC852031 UPY852002:UPY852031 UZU852002:UZU852031 VJQ852002:VJQ852031 VTM852002:VTM852031 WDI852002:WDI852031 WNE852002:WNE852031 AS917538:AS917567 KO917538:KO917567 UK917538:UK917567 AEG917538:AEG917567 AOC917538:AOC917567 AXY917538:AXY917567 BHU917538:BHU917567 BRQ917538:BRQ917567 CBM917538:CBM917567 CLI917538:CLI917567 CVE917538:CVE917567 DFA917538:DFA917567 DOW917538:DOW917567 DYS917538:DYS917567 EIO917538:EIO917567 ESK917538:ESK917567 FCG917538:FCG917567 FMC917538:FMC917567 FVY917538:FVY917567 GFU917538:GFU917567 GPQ917538:GPQ917567 GZM917538:GZM917567 HJI917538:HJI917567 HTE917538:HTE917567 IDA917538:IDA917567 IMW917538:IMW917567 IWS917538:IWS917567 JGO917538:JGO917567 JQK917538:JQK917567 KAG917538:KAG917567 KKC917538:KKC917567 KTY917538:KTY917567 LDU917538:LDU917567 LNQ917538:LNQ917567 LXM917538:LXM917567 MHI917538:MHI917567 MRE917538:MRE917567 NBA917538:NBA917567 NKW917538:NKW917567 NUS917538:NUS917567 OEO917538:OEO917567 OOK917538:OOK917567 OYG917538:OYG917567 PIC917538:PIC917567 PRY917538:PRY917567 QBU917538:QBU917567 QLQ917538:QLQ917567 QVM917538:QVM917567 RFI917538:RFI917567 RPE917538:RPE917567 RZA917538:RZA917567 SIW917538:SIW917567 SSS917538:SSS917567 TCO917538:TCO917567 TMK917538:TMK917567 TWG917538:TWG917567 UGC917538:UGC917567 UPY917538:UPY917567 UZU917538:UZU917567 VJQ917538:VJQ917567 VTM917538:VTM917567 WDI917538:WDI917567 WNE917538:WNE917567 AS983074:AS983103 KO983074:KO983103 UK983074:UK983103 AEG983074:AEG983103 AOC983074:AOC983103 AXY983074:AXY983103 BHU983074:BHU983103 BRQ983074:BRQ983103 CBM983074:CBM983103 CLI983074:CLI983103 CVE983074:CVE983103 DFA983074:DFA983103 DOW983074:DOW983103 DYS983074:DYS983103 EIO983074:EIO983103 ESK983074:ESK983103 FCG983074:FCG983103 FMC983074:FMC983103 FVY983074:FVY983103 GFU983074:GFU983103 GPQ983074:GPQ983103 GZM983074:GZM983103 HJI983074:HJI983103 HTE983074:HTE983103 IDA983074:IDA983103 IMW983074:IMW983103 IWS983074:IWS983103 JGO983074:JGO983103 JQK983074:JQK983103 KAG983074:KAG983103 KKC983074:KKC983103 KTY983074:KTY983103 LDU983074:LDU983103 LNQ983074:LNQ983103 LXM983074:LXM983103 MHI983074:MHI983103 MRE983074:MRE983103 NBA983074:NBA983103 NKW983074:NKW983103 NUS983074:NUS983103 OEO983074:OEO983103 OOK983074:OOK983103 OYG983074:OYG983103 PIC983074:PIC983103 PRY983074:PRY983103 QBU983074:QBU983103 QLQ983074:QLQ983103 QVM983074:QVM983103 RFI983074:RFI983103 RPE983074:RPE983103 RZA983074:RZA983103 SIW983074:SIW983103 SSS983074:SSS983103 TCO983074:TCO983103 TMK983074:TMK983103 TWG983074:TWG983103 UGC983074:UGC983103 UPY983074:UPY983103 UZU983074:UZU983103 VJQ983074:VJQ983103 VTM983074:VTM983103 WDI983074:WDI983103 WDE7:WDE66 WNA7:WNA66 AO7:AO66 KK7:KK66 UG7:UG66 AEC7:AEC66 ANY7:ANY66 AXU7:AXU66 BHQ7:BHQ66 BRM7:BRM66 CBI7:CBI66 CLE7:CLE66 CVA7:CVA66 DEW7:DEW66 DOS7:DOS66 DYO7:DYO66 EIK7:EIK66 ESG7:ESG66 FCC7:FCC66 FLY7:FLY66 FVU7:FVU66 GFQ7:GFQ66 GPM7:GPM66 GZI7:GZI66 HJE7:HJE66 HTA7:HTA66 ICW7:ICW66 IMS7:IMS66 IWO7:IWO66 JGK7:JGK66 JQG7:JQG66 KAC7:KAC66 KJY7:KJY66 KTU7:KTU66 LDQ7:LDQ66 LNM7:LNM66 LXI7:LXI66 MHE7:MHE66 MRA7:MRA66 NAW7:NAW66 NKS7:NKS66 NUO7:NUO66 OEK7:OEK66 OOG7:OOG66 OYC7:OYC66 PHY7:PHY66 PRU7:PRU66 QBQ7:QBQ66 QLM7:QLM66 QVI7:QVI66 RFE7:RFE66 RPA7:RPA66 RYW7:RYW66 SIS7:SIS66 SSO7:SSO66 TCK7:TCK66 TMG7:TMG66 TWC7:TWC66 UFY7:UFY66 UPU7:UPU66 UZQ7:UZQ66 VJM7:VJM66 VTI7:VTI66"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8" scale="32" fitToHeight="2" orientation="landscape" r:id="rId1"/>
  <headerFooter alignWithMargins="0"/>
  <ignoredErrors>
    <ignoredError sqref="AM67 AD67" unlockedFormula="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E7F0564-84BE-4DDD-AEAC-5A1FDC367F41}">
          <x14:formula1>
            <xm:f>Ref!$B$2:$B$18</xm:f>
          </x14:formula1>
          <xm:sqref>E47 E35 E7 E51 E55 E59 E63 E31 E11 E15 E23 E27 E43 E39 E19</xm:sqref>
        </x14:dataValidation>
        <x14:dataValidation type="list" allowBlank="1" showInputMessage="1" showErrorMessage="1" xr:uid="{5BF4A911-C3A6-4585-85E2-A5F3557B19DD}">
          <x14:formula1>
            <xm:f>Ref!$D$2:$D$3</xm:f>
          </x14:formula1>
          <xm:sqref>L7:L8 L35 L47 L51 L55 L59 L63 W7 AF7 W35 W47 W51 W55 W59 W63 AF35 AF47 AF51 AF55 AF59 AF63 L31 W31 AF31 L11 W11 AF11 L15 W15 AF15 L23 W23:W24 AF23 L27 W27 AF27 L19:L20 W19 AF19 L39 W39 AF39 L43 W43:W45 AF43</xm:sqref>
        </x14:dataValidation>
        <x14:dataValidation type="list" allowBlank="1" showInputMessage="1" showErrorMessage="1" xr:uid="{6070C04B-CD25-4340-BB4C-216D792EDCD6}">
          <x14:formula1>
            <xm:f>Ref!$C$2:$C$16</xm:f>
          </x14:formula1>
          <xm:sqref>F63 F59 F55 F51 F47 F7 F11 F15 F23 F27 F43 F31 F35 F39 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WE189"/>
  <sheetViews>
    <sheetView zoomScale="70" zoomScaleNormal="70" workbookViewId="0">
      <selection activeCell="F6" sqref="F6"/>
    </sheetView>
  </sheetViews>
  <sheetFormatPr defaultColWidth="0" defaultRowHeight="0" customHeight="1" zeroHeight="1"/>
  <cols>
    <col min="1" max="1" width="6.88671875" style="58" customWidth="1"/>
    <col min="2" max="2" width="27.33203125" style="58" customWidth="1"/>
    <col min="3" max="3" width="27.44140625" style="58" bestFit="1" customWidth="1"/>
    <col min="4" max="4" width="29" style="58" customWidth="1"/>
    <col min="5" max="5" width="15.88671875" style="67" bestFit="1" customWidth="1"/>
    <col min="6" max="6" width="15.88671875" style="67" customWidth="1"/>
    <col min="7" max="7" width="16.5546875" style="67" bestFit="1" customWidth="1"/>
    <col min="8" max="8" width="15.88671875" style="67" customWidth="1"/>
    <col min="9" max="9" width="29.21875" style="67" customWidth="1"/>
    <col min="10" max="10" width="15.77734375" style="58" customWidth="1"/>
    <col min="11" max="11" width="16.44140625" style="58" customWidth="1"/>
    <col min="12" max="12" width="14.5546875" style="58" customWidth="1"/>
    <col min="13" max="15" width="15.77734375" style="58" hidden="1" customWidth="1"/>
    <col min="16" max="17" width="8" style="58" hidden="1" customWidth="1"/>
    <col min="18" max="257" width="9.109375" style="58" hidden="1"/>
    <col min="258" max="258" width="11" style="58" hidden="1" customWidth="1"/>
    <col min="259" max="259" width="24" style="58" hidden="1" customWidth="1"/>
    <col min="260" max="260" width="14" style="58" hidden="1" customWidth="1"/>
    <col min="261" max="261" width="14.109375" style="58" hidden="1" customWidth="1"/>
    <col min="262" max="262" width="13" style="58" hidden="1" customWidth="1"/>
    <col min="263" max="263" width="14" style="58" hidden="1" customWidth="1"/>
    <col min="264" max="264" width="15" style="58" hidden="1" customWidth="1"/>
    <col min="265" max="265" width="15.21875" style="58" hidden="1"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51" width="0" style="58" hidden="1"/>
    <col min="16152" max="16384" width="9.109375" style="58" hidden="1"/>
  </cols>
  <sheetData>
    <row r="1" spans="1:265" s="698" customFormat="1" ht="22.8" customHeight="1">
      <c r="A1" s="799" t="s">
        <v>156</v>
      </c>
      <c r="B1" s="696"/>
      <c r="C1" s="696"/>
      <c r="D1" s="362"/>
      <c r="E1" s="697"/>
      <c r="F1" s="697"/>
      <c r="G1" s="697"/>
      <c r="H1" s="697"/>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c r="IW1" s="363"/>
      <c r="IX1" s="363"/>
      <c r="IY1" s="363"/>
      <c r="IZ1" s="363"/>
      <c r="JA1" s="363"/>
      <c r="JB1" s="363"/>
      <c r="JC1" s="363"/>
      <c r="JD1" s="363"/>
      <c r="JE1" s="363"/>
    </row>
    <row r="2" spans="1:265" s="698" customFormat="1" ht="22.8" customHeight="1">
      <c r="A2" s="799" t="s">
        <v>226</v>
      </c>
      <c r="B2" s="696"/>
      <c r="C2" s="696"/>
      <c r="D2" s="362"/>
      <c r="E2" s="697"/>
      <c r="F2" s="697"/>
      <c r="G2" s="697"/>
      <c r="H2" s="697"/>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c r="IW2" s="363"/>
      <c r="IX2" s="363"/>
      <c r="IY2" s="363"/>
      <c r="IZ2" s="363"/>
      <c r="JA2" s="363"/>
      <c r="JB2" s="363"/>
      <c r="JC2" s="363"/>
      <c r="JD2" s="363"/>
      <c r="JE2" s="363"/>
    </row>
    <row r="3" spans="1:265" s="698" customFormat="1" ht="22.8" customHeight="1" thickBot="1">
      <c r="A3" s="363" t="s">
        <v>66</v>
      </c>
      <c r="B3" s="362"/>
      <c r="C3" s="363"/>
      <c r="D3" s="363"/>
      <c r="E3" s="364"/>
      <c r="F3" s="364"/>
      <c r="G3" s="159">
        <v>0.04</v>
      </c>
      <c r="H3" s="365"/>
      <c r="I3" s="699"/>
      <c r="J3" s="699"/>
      <c r="K3" s="699"/>
      <c r="L3" s="699"/>
      <c r="M3" s="700" t="s">
        <v>165</v>
      </c>
      <c r="N3" s="700"/>
      <c r="O3" s="700"/>
      <c r="P3" s="700"/>
      <c r="Q3" s="700"/>
      <c r="IX3" s="363"/>
      <c r="IY3" s="701" t="s">
        <v>174</v>
      </c>
      <c r="IZ3" s="363"/>
      <c r="JA3" s="363"/>
      <c r="JB3" s="363"/>
      <c r="JC3" s="363"/>
      <c r="JD3" s="363"/>
      <c r="JE3" s="363"/>
    </row>
    <row r="4" spans="1:265" s="45" customFormat="1" ht="30" customHeight="1" thickBot="1">
      <c r="A4" s="678" t="s">
        <v>0</v>
      </c>
      <c r="B4" s="434" t="s">
        <v>2</v>
      </c>
      <c r="C4" s="434" t="s">
        <v>6</v>
      </c>
      <c r="D4" s="434" t="s">
        <v>9</v>
      </c>
      <c r="E4" s="435" t="s">
        <v>26</v>
      </c>
      <c r="F4" s="436" t="s">
        <v>3</v>
      </c>
      <c r="G4" s="435" t="s">
        <v>29</v>
      </c>
      <c r="H4" s="437" t="s">
        <v>4</v>
      </c>
      <c r="I4" s="348"/>
      <c r="J4" s="356"/>
      <c r="K4" s="850"/>
      <c r="L4" s="850"/>
      <c r="M4" s="347" t="s">
        <v>166</v>
      </c>
      <c r="N4" s="347" t="s">
        <v>167</v>
      </c>
      <c r="O4" s="347" t="s">
        <v>168</v>
      </c>
      <c r="P4" s="347" t="s">
        <v>169</v>
      </c>
      <c r="Q4" s="347" t="s">
        <v>170</v>
      </c>
      <c r="IX4" s="385"/>
      <c r="IY4" s="353" t="s">
        <v>94</v>
      </c>
      <c r="IZ4" s="354" t="s">
        <v>172</v>
      </c>
      <c r="JA4" s="354" t="s">
        <v>173</v>
      </c>
      <c r="JB4" s="354" t="s">
        <v>175</v>
      </c>
      <c r="JC4" s="354" t="s">
        <v>176</v>
      </c>
      <c r="JD4" s="354" t="s">
        <v>177</v>
      </c>
      <c r="JE4" s="385"/>
    </row>
    <row r="5" spans="1:265" s="175" customFormat="1" ht="19.95" customHeight="1">
      <c r="A5" s="702">
        <v>1</v>
      </c>
      <c r="B5" s="703" t="s">
        <v>94</v>
      </c>
      <c r="C5" s="424" t="s">
        <v>70</v>
      </c>
      <c r="D5" s="425" t="s">
        <v>64</v>
      </c>
      <c r="E5" s="426">
        <v>1</v>
      </c>
      <c r="F5" s="441">
        <v>2910</v>
      </c>
      <c r="G5" s="427">
        <f>F5*G3</f>
        <v>116.4</v>
      </c>
      <c r="H5" s="428">
        <f>F5-G5</f>
        <v>2793.6</v>
      </c>
      <c r="I5" s="451" t="s">
        <v>179</v>
      </c>
      <c r="J5" s="357"/>
      <c r="K5" s="356"/>
      <c r="L5" s="356"/>
      <c r="M5" s="349">
        <f>IZ5+JA5+JB5+JC5+JD5</f>
        <v>0</v>
      </c>
      <c r="N5" s="349">
        <f>1140.48/2</f>
        <v>570.24</v>
      </c>
      <c r="O5" s="351"/>
      <c r="P5" s="350"/>
      <c r="Q5" s="351"/>
      <c r="IX5" s="361"/>
      <c r="IY5" s="346" t="s">
        <v>70</v>
      </c>
      <c r="IZ5" s="346"/>
      <c r="JA5" s="346"/>
      <c r="JB5" s="346"/>
      <c r="JC5" s="346"/>
      <c r="JD5" s="346"/>
      <c r="JE5" s="361"/>
    </row>
    <row r="6" spans="1:265" s="175" customFormat="1" ht="19.95" customHeight="1">
      <c r="A6" s="704"/>
      <c r="B6" s="334"/>
      <c r="C6" s="328" t="s">
        <v>71</v>
      </c>
      <c r="D6" s="176"/>
      <c r="E6" s="429">
        <v>0</v>
      </c>
      <c r="F6" s="430">
        <v>0</v>
      </c>
      <c r="G6" s="431">
        <f>F6*$G$3</f>
        <v>0</v>
      </c>
      <c r="H6" s="432">
        <f>F6-G6</f>
        <v>0</v>
      </c>
      <c r="I6" s="358"/>
      <c r="J6" s="358"/>
      <c r="K6" s="357"/>
      <c r="L6" s="357"/>
      <c r="M6" s="351"/>
      <c r="N6" s="352"/>
      <c r="O6" s="351"/>
      <c r="P6" s="351"/>
      <c r="Q6" s="351"/>
      <c r="IX6" s="361"/>
      <c r="IY6" s="346" t="s">
        <v>71</v>
      </c>
      <c r="IZ6" s="346"/>
      <c r="JA6" s="346"/>
      <c r="JB6" s="346"/>
      <c r="JC6" s="346"/>
      <c r="JD6" s="346"/>
      <c r="JE6" s="361"/>
    </row>
    <row r="7" spans="1:265" s="175" customFormat="1" ht="19.95" customHeight="1">
      <c r="A7" s="704"/>
      <c r="B7" s="334"/>
      <c r="C7" s="328" t="s">
        <v>73</v>
      </c>
      <c r="D7" s="176"/>
      <c r="E7" s="429">
        <v>0</v>
      </c>
      <c r="F7" s="430">
        <v>0</v>
      </c>
      <c r="G7" s="431">
        <f t="shared" ref="G7:G14" si="0">F7*$G$3</f>
        <v>0</v>
      </c>
      <c r="H7" s="432">
        <f t="shared" ref="H7:H14" si="1">F7-G7</f>
        <v>0</v>
      </c>
      <c r="I7" s="358"/>
      <c r="J7" s="358"/>
      <c r="K7" s="358"/>
      <c r="L7" s="358"/>
      <c r="M7" s="351"/>
      <c r="N7" s="352"/>
      <c r="O7" s="351"/>
      <c r="P7" s="351"/>
      <c r="Q7" s="351"/>
      <c r="IX7" s="361"/>
      <c r="IY7" s="346" t="s">
        <v>73</v>
      </c>
      <c r="IZ7" s="346"/>
      <c r="JA7" s="346"/>
      <c r="JB7" s="346"/>
      <c r="JC7" s="346"/>
      <c r="JD7" s="346"/>
      <c r="JE7" s="361"/>
    </row>
    <row r="8" spans="1:265" s="175" customFormat="1" ht="19.95" customHeight="1">
      <c r="A8" s="704"/>
      <c r="B8" s="334"/>
      <c r="C8" s="328" t="s">
        <v>74</v>
      </c>
      <c r="D8" s="176"/>
      <c r="E8" s="429">
        <v>0</v>
      </c>
      <c r="F8" s="430">
        <v>0</v>
      </c>
      <c r="G8" s="431">
        <f>F8*$G$3</f>
        <v>0</v>
      </c>
      <c r="H8" s="432">
        <f t="shared" si="1"/>
        <v>0</v>
      </c>
      <c r="I8" s="358"/>
      <c r="J8" s="358"/>
      <c r="K8" s="358"/>
      <c r="L8" s="358"/>
      <c r="M8" s="351"/>
      <c r="N8" s="352"/>
      <c r="O8" s="351"/>
      <c r="P8" s="351"/>
      <c r="Q8" s="351"/>
      <c r="IX8" s="361"/>
      <c r="IY8" s="346" t="s">
        <v>74</v>
      </c>
      <c r="IZ8" s="346"/>
      <c r="JA8" s="346"/>
      <c r="JB8" s="346"/>
      <c r="JC8" s="346"/>
      <c r="JD8" s="346"/>
      <c r="JE8" s="361"/>
    </row>
    <row r="9" spans="1:265" s="175" customFormat="1" ht="19.95" customHeight="1">
      <c r="A9" s="704"/>
      <c r="B9" s="334"/>
      <c r="C9" s="328" t="s">
        <v>75</v>
      </c>
      <c r="D9" s="176"/>
      <c r="E9" s="429">
        <v>0</v>
      </c>
      <c r="F9" s="430"/>
      <c r="G9" s="431">
        <f t="shared" si="0"/>
        <v>0</v>
      </c>
      <c r="H9" s="432">
        <f t="shared" si="1"/>
        <v>0</v>
      </c>
      <c r="I9" s="358"/>
      <c r="J9" s="358"/>
      <c r="K9" s="672"/>
      <c r="L9" s="358"/>
      <c r="M9" s="351"/>
      <c r="N9" s="352"/>
      <c r="O9" s="351"/>
      <c r="P9" s="351"/>
      <c r="Q9" s="351"/>
      <c r="IX9" s="361"/>
      <c r="IY9" s="346" t="s">
        <v>75</v>
      </c>
      <c r="IZ9" s="346"/>
      <c r="JA9" s="346"/>
      <c r="JB9" s="346"/>
      <c r="JC9" s="346"/>
      <c r="JD9" s="346"/>
      <c r="JE9" s="361"/>
    </row>
    <row r="10" spans="1:265" s="175" customFormat="1" ht="19.95" customHeight="1">
      <c r="A10" s="704"/>
      <c r="B10" s="334"/>
      <c r="C10" s="328" t="s">
        <v>152</v>
      </c>
      <c r="D10" s="176"/>
      <c r="E10" s="429">
        <v>0</v>
      </c>
      <c r="F10" s="430">
        <v>0</v>
      </c>
      <c r="G10" s="431">
        <f t="shared" si="0"/>
        <v>0</v>
      </c>
      <c r="H10" s="432">
        <f t="shared" si="1"/>
        <v>0</v>
      </c>
      <c r="I10" s="358"/>
      <c r="J10" s="358"/>
      <c r="K10" s="356"/>
      <c r="L10" s="356"/>
      <c r="M10" s="351"/>
      <c r="N10" s="352"/>
      <c r="O10" s="351"/>
      <c r="P10" s="351"/>
      <c r="Q10" s="351"/>
      <c r="IX10" s="361"/>
      <c r="IY10" s="346" t="s">
        <v>152</v>
      </c>
      <c r="IZ10" s="346"/>
      <c r="JA10" s="346"/>
      <c r="JB10" s="346"/>
      <c r="JC10" s="346"/>
      <c r="JD10" s="346"/>
      <c r="JE10" s="361"/>
    </row>
    <row r="11" spans="1:265" s="175" customFormat="1" ht="19.95" customHeight="1">
      <c r="A11" s="704"/>
      <c r="B11" s="334"/>
      <c r="C11" s="328" t="s">
        <v>130</v>
      </c>
      <c r="D11" s="176"/>
      <c r="E11" s="429">
        <v>0</v>
      </c>
      <c r="F11" s="430">
        <v>0</v>
      </c>
      <c r="G11" s="431">
        <f t="shared" si="0"/>
        <v>0</v>
      </c>
      <c r="H11" s="432">
        <f t="shared" si="1"/>
        <v>0</v>
      </c>
      <c r="I11" s="358"/>
      <c r="J11" s="358"/>
      <c r="K11" s="357"/>
      <c r="L11" s="357"/>
      <c r="M11" s="351"/>
      <c r="N11" s="352"/>
      <c r="O11" s="351"/>
      <c r="P11" s="351"/>
      <c r="Q11" s="351"/>
      <c r="IX11" s="361"/>
      <c r="IY11" s="346" t="s">
        <v>130</v>
      </c>
      <c r="IZ11" s="346"/>
      <c r="JA11" s="346"/>
      <c r="JB11" s="346"/>
      <c r="JC11" s="346"/>
      <c r="JD11" s="346"/>
      <c r="JE11" s="361"/>
    </row>
    <row r="12" spans="1:265" s="175" customFormat="1" ht="19.95" customHeight="1">
      <c r="A12" s="704"/>
      <c r="B12" s="334"/>
      <c r="C12" s="328" t="s">
        <v>151</v>
      </c>
      <c r="D12" s="176"/>
      <c r="E12" s="429">
        <v>0</v>
      </c>
      <c r="F12" s="430"/>
      <c r="G12" s="431">
        <f>F12*$G$3</f>
        <v>0</v>
      </c>
      <c r="H12" s="432">
        <f t="shared" si="1"/>
        <v>0</v>
      </c>
      <c r="I12" s="358"/>
      <c r="J12" s="358"/>
      <c r="K12" s="358"/>
      <c r="L12" s="358"/>
      <c r="M12" s="351"/>
      <c r="N12" s="352"/>
      <c r="O12" s="351"/>
      <c r="P12" s="351"/>
      <c r="Q12" s="351"/>
      <c r="IX12" s="361"/>
      <c r="IY12" s="346" t="s">
        <v>151</v>
      </c>
      <c r="IZ12" s="346"/>
      <c r="JA12" s="346"/>
      <c r="JB12" s="346"/>
      <c r="JC12" s="346"/>
      <c r="JD12" s="346"/>
      <c r="JE12" s="361"/>
    </row>
    <row r="13" spans="1:265" s="175" customFormat="1" ht="19.95" customHeight="1">
      <c r="A13" s="704"/>
      <c r="B13" s="334"/>
      <c r="C13" s="328" t="s">
        <v>72</v>
      </c>
      <c r="D13" s="176"/>
      <c r="E13" s="429">
        <v>0</v>
      </c>
      <c r="F13" s="430">
        <v>0</v>
      </c>
      <c r="G13" s="431">
        <f t="shared" si="0"/>
        <v>0</v>
      </c>
      <c r="H13" s="432">
        <f t="shared" si="1"/>
        <v>0</v>
      </c>
      <c r="I13" s="358"/>
      <c r="J13" s="358"/>
      <c r="K13" s="358"/>
      <c r="L13" s="358"/>
      <c r="M13" s="351"/>
      <c r="N13" s="352"/>
      <c r="O13" s="351"/>
      <c r="P13" s="351"/>
      <c r="Q13" s="351"/>
      <c r="IX13" s="361"/>
      <c r="IY13" s="346" t="s">
        <v>72</v>
      </c>
      <c r="IZ13" s="346"/>
      <c r="JA13" s="346"/>
      <c r="JB13" s="346"/>
      <c r="JC13" s="346"/>
      <c r="JD13" s="346"/>
      <c r="JE13" s="361"/>
    </row>
    <row r="14" spans="1:265" s="175" customFormat="1" ht="19.95" customHeight="1" thickBot="1">
      <c r="A14" s="704"/>
      <c r="B14" s="334"/>
      <c r="C14" s="806" t="s">
        <v>67</v>
      </c>
      <c r="D14" s="176"/>
      <c r="E14" s="807">
        <v>0</v>
      </c>
      <c r="F14" s="808">
        <v>0</v>
      </c>
      <c r="G14" s="809">
        <f t="shared" si="0"/>
        <v>0</v>
      </c>
      <c r="H14" s="810">
        <f t="shared" si="1"/>
        <v>0</v>
      </c>
      <c r="I14" s="358"/>
      <c r="J14" s="358"/>
      <c r="K14" s="358"/>
      <c r="L14" s="358"/>
      <c r="M14" s="351">
        <f>2280.96/2</f>
        <v>1140.48</v>
      </c>
      <c r="N14" s="351">
        <f>2280.96/2</f>
        <v>1140.48</v>
      </c>
      <c r="O14" s="351"/>
      <c r="P14" s="351"/>
      <c r="Q14" s="351"/>
      <c r="IX14" s="361"/>
      <c r="IY14" s="346" t="s">
        <v>67</v>
      </c>
      <c r="IZ14" s="346"/>
      <c r="JA14" s="346"/>
      <c r="JB14" s="346"/>
      <c r="JC14" s="346"/>
      <c r="JD14" s="346"/>
      <c r="JE14" s="361"/>
    </row>
    <row r="15" spans="1:265" s="177" customFormat="1" ht="19.95" customHeight="1">
      <c r="A15" s="438">
        <v>2</v>
      </c>
      <c r="B15" s="439" t="s">
        <v>141</v>
      </c>
      <c r="C15" s="424" t="s">
        <v>70</v>
      </c>
      <c r="D15" s="708" t="s">
        <v>146</v>
      </c>
      <c r="E15" s="440">
        <f>COUNTIFS(Table1351452010[[#All],[Sales]],"คุณนิมิต จุ้ยอยู่ทอง",Table1351452010[[#All],[ค่าเชื่อมสัญญาณ/
ค่าติดตั้ง/
ค่าขายอุปกรณ์]],"&gt;1")</f>
        <v>1</v>
      </c>
      <c r="F15" s="441">
        <f>SUMIF(Table1351452010[[#All],[Sales]],"คุณนิมิต จุ้ยอยู่ทอง",Table1351452010[[#All],[Total
ค่าเชื่มสัญญาณ/ค่าติดตั้ง/
ค่าขายอุปกรณ์
(2)]])</f>
        <v>970</v>
      </c>
      <c r="G15" s="427">
        <v>0</v>
      </c>
      <c r="H15" s="428">
        <f>F15-G15</f>
        <v>970</v>
      </c>
      <c r="I15" s="677" t="s">
        <v>178</v>
      </c>
      <c r="J15" s="359"/>
      <c r="K15" s="358"/>
      <c r="L15" s="358"/>
      <c r="M15" s="380"/>
      <c r="N15" s="361"/>
      <c r="O15" s="382"/>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1"/>
      <c r="BX15" s="361"/>
      <c r="BY15" s="361"/>
      <c r="BZ15" s="361"/>
      <c r="CA15" s="361"/>
      <c r="CB15" s="361"/>
      <c r="CC15" s="361"/>
      <c r="CD15" s="361"/>
      <c r="CE15" s="361"/>
      <c r="CF15" s="361"/>
      <c r="CG15" s="361"/>
      <c r="CH15" s="361"/>
      <c r="CI15" s="361"/>
      <c r="CJ15" s="361"/>
      <c r="CK15" s="361"/>
      <c r="CL15" s="361"/>
      <c r="CM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361"/>
      <c r="DS15" s="361"/>
      <c r="DT15" s="361"/>
      <c r="DU15" s="361"/>
      <c r="DV15" s="361"/>
      <c r="DW15" s="361"/>
      <c r="DX15" s="361"/>
      <c r="DY15" s="361"/>
      <c r="DZ15" s="361"/>
      <c r="EA15" s="361"/>
      <c r="EB15" s="361"/>
      <c r="EC15" s="361"/>
      <c r="ED15" s="361"/>
      <c r="EE15" s="361"/>
      <c r="EF15" s="361"/>
      <c r="EG15" s="361"/>
      <c r="EH15" s="361"/>
      <c r="EI15" s="361"/>
      <c r="EJ15" s="361"/>
      <c r="EK15" s="361"/>
      <c r="EL15" s="361"/>
      <c r="EM15" s="361"/>
      <c r="EN15" s="361"/>
      <c r="EO15" s="361"/>
      <c r="EP15" s="361"/>
      <c r="EQ15" s="361"/>
      <c r="ER15" s="361"/>
      <c r="ES15" s="361"/>
      <c r="ET15" s="361"/>
      <c r="EU15" s="361"/>
      <c r="EV15" s="361"/>
      <c r="EW15" s="361"/>
      <c r="EX15" s="361"/>
      <c r="EY15" s="361"/>
      <c r="EZ15" s="361"/>
      <c r="FA15" s="361"/>
      <c r="FB15" s="361"/>
      <c r="FC15" s="361"/>
      <c r="FD15" s="361"/>
      <c r="FE15" s="361"/>
      <c r="FF15" s="361"/>
      <c r="FG15" s="361"/>
      <c r="FH15" s="361"/>
      <c r="FI15" s="361"/>
      <c r="FJ15" s="361"/>
      <c r="FK15" s="361"/>
      <c r="FL15" s="361"/>
      <c r="FM15" s="361"/>
      <c r="FN15" s="361"/>
      <c r="FO15" s="361"/>
      <c r="FP15" s="361"/>
      <c r="FQ15" s="361"/>
      <c r="FR15" s="361"/>
      <c r="FS15" s="361"/>
      <c r="FT15" s="361"/>
      <c r="FU15" s="361"/>
      <c r="FV15" s="361"/>
      <c r="FW15" s="361"/>
      <c r="FX15" s="361"/>
      <c r="FY15" s="361"/>
      <c r="FZ15" s="361"/>
      <c r="GA15" s="361"/>
      <c r="GB15" s="361"/>
      <c r="GC15" s="361"/>
      <c r="GD15" s="361"/>
      <c r="GE15" s="361"/>
      <c r="GF15" s="361"/>
      <c r="GG15" s="361"/>
      <c r="GH15" s="361"/>
      <c r="GI15" s="361"/>
      <c r="GJ15" s="361"/>
      <c r="GK15" s="361"/>
      <c r="GL15" s="361"/>
      <c r="GM15" s="361"/>
      <c r="GN15" s="361"/>
      <c r="GO15" s="361"/>
      <c r="GP15" s="361"/>
      <c r="GQ15" s="361"/>
      <c r="GR15" s="361"/>
      <c r="GS15" s="361"/>
      <c r="GT15" s="361"/>
      <c r="GU15" s="361"/>
      <c r="GV15" s="361"/>
      <c r="GW15" s="361"/>
      <c r="GX15" s="361"/>
      <c r="GY15" s="361"/>
      <c r="GZ15" s="361"/>
      <c r="HA15" s="361"/>
      <c r="HB15" s="361"/>
      <c r="HC15" s="361"/>
      <c r="HD15" s="361"/>
      <c r="HE15" s="361"/>
      <c r="HF15" s="361"/>
      <c r="HG15" s="361"/>
      <c r="HH15" s="361"/>
      <c r="HI15" s="361"/>
      <c r="HJ15" s="361"/>
      <c r="HK15" s="361"/>
      <c r="HL15" s="361"/>
      <c r="HM15" s="361"/>
      <c r="HN15" s="361"/>
      <c r="HO15" s="361"/>
      <c r="HP15" s="361"/>
      <c r="HQ15" s="361"/>
      <c r="HR15" s="361"/>
      <c r="HS15" s="361"/>
      <c r="HT15" s="361"/>
      <c r="HU15" s="361"/>
      <c r="HV15" s="361"/>
      <c r="HW15" s="361"/>
      <c r="HX15" s="361"/>
      <c r="HY15" s="361"/>
      <c r="HZ15" s="361"/>
      <c r="IA15" s="361"/>
      <c r="IB15" s="361"/>
      <c r="IC15" s="361"/>
      <c r="ID15" s="361"/>
      <c r="IE15" s="361"/>
      <c r="IF15" s="361"/>
      <c r="IG15" s="361"/>
      <c r="IH15" s="361"/>
      <c r="II15" s="361"/>
      <c r="IJ15" s="361"/>
      <c r="IK15" s="361"/>
      <c r="IL15" s="361"/>
      <c r="IM15" s="361"/>
      <c r="IN15" s="361"/>
      <c r="IO15" s="361"/>
      <c r="IP15" s="383"/>
      <c r="IQ15" s="383"/>
      <c r="IR15" s="383"/>
      <c r="IS15" s="383"/>
      <c r="IT15" s="383"/>
      <c r="IU15" s="383"/>
      <c r="IV15" s="383"/>
      <c r="IW15" s="383"/>
      <c r="IX15" s="384"/>
      <c r="IY15" s="355" t="s">
        <v>180</v>
      </c>
      <c r="IZ15" s="355"/>
      <c r="JA15" s="355"/>
      <c r="JB15" s="355"/>
      <c r="JC15" s="355"/>
      <c r="JD15" s="355"/>
      <c r="JE15" s="383"/>
    </row>
    <row r="16" spans="1:265" s="179" customFormat="1" ht="19.95" customHeight="1">
      <c r="A16" s="442"/>
      <c r="B16" s="333" t="s">
        <v>142</v>
      </c>
      <c r="C16" s="328" t="s">
        <v>71</v>
      </c>
      <c r="D16" s="709" t="s">
        <v>147</v>
      </c>
      <c r="E16" s="443">
        <f>COUNTIFS(Table1351452010[[#All],[Sales]],"คุณธวัช มีแสง",Table1351452010[[#All],[ค่าเชื่อมสัญญาณ/
ค่าติดตั้ง/
ค่าขายอุปกรณ์]],"&gt;1")</f>
        <v>0</v>
      </c>
      <c r="F16" s="444">
        <f>SUMIF(Table1351452010[[#All],[Sales]],"คุณธวัช มีแสง",Table1351452010[[#All],[Total
ค่าเชื่มสัญญาณ/ค่าติดตั้ง/
ค่าขายอุปกรณ์
(2)]])</f>
        <v>0</v>
      </c>
      <c r="G16" s="431">
        <v>0</v>
      </c>
      <c r="H16" s="433">
        <f t="shared" ref="H16:H24" si="2">F16-G16</f>
        <v>0</v>
      </c>
      <c r="I16" s="359"/>
      <c r="J16" s="359"/>
      <c r="K16" s="358"/>
      <c r="L16" s="358"/>
      <c r="M16" s="380"/>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61"/>
      <c r="BK16" s="361"/>
      <c r="BL16" s="361"/>
      <c r="BM16" s="361"/>
      <c r="BN16" s="361"/>
      <c r="BO16" s="361"/>
      <c r="BP16" s="361"/>
      <c r="BQ16" s="361"/>
      <c r="BR16" s="361"/>
      <c r="BS16" s="361"/>
      <c r="BT16" s="361"/>
      <c r="BU16" s="361"/>
      <c r="BV16" s="361"/>
      <c r="BW16" s="361"/>
      <c r="BX16" s="361"/>
      <c r="BY16" s="361"/>
      <c r="BZ16" s="361"/>
      <c r="CA16" s="361"/>
      <c r="CB16" s="361"/>
      <c r="CC16" s="361"/>
      <c r="CD16" s="361"/>
      <c r="CE16" s="361"/>
      <c r="CF16" s="361"/>
      <c r="CG16" s="361"/>
      <c r="CH16" s="361"/>
      <c r="CI16" s="361"/>
      <c r="CJ16" s="361"/>
      <c r="CK16" s="361"/>
      <c r="CL16" s="361"/>
      <c r="CM16" s="361"/>
      <c r="CN16" s="361"/>
      <c r="CO16" s="361"/>
      <c r="CP16" s="361"/>
      <c r="CQ16" s="361"/>
      <c r="CR16" s="361"/>
      <c r="CS16" s="361"/>
      <c r="CT16" s="361"/>
      <c r="CU16" s="361"/>
      <c r="CV16" s="361"/>
      <c r="CW16" s="361"/>
      <c r="CX16" s="361"/>
      <c r="CY16" s="361"/>
      <c r="CZ16" s="361"/>
      <c r="DA16" s="361"/>
      <c r="DB16" s="361"/>
      <c r="DC16" s="361"/>
      <c r="DD16" s="361"/>
      <c r="DE16" s="361"/>
      <c r="DF16" s="361"/>
      <c r="DG16" s="361"/>
      <c r="DH16" s="361"/>
      <c r="DI16" s="361"/>
      <c r="DJ16" s="361"/>
      <c r="DK16" s="361"/>
      <c r="DL16" s="361"/>
      <c r="DM16" s="361"/>
      <c r="DN16" s="361"/>
      <c r="DO16" s="361"/>
      <c r="DP16" s="361"/>
      <c r="DQ16" s="361"/>
      <c r="DR16" s="361"/>
      <c r="DS16" s="361"/>
      <c r="DT16" s="361"/>
      <c r="DU16" s="361"/>
      <c r="DV16" s="361"/>
      <c r="DW16" s="361"/>
      <c r="DX16" s="361"/>
      <c r="DY16" s="361"/>
      <c r="DZ16" s="361"/>
      <c r="EA16" s="361"/>
      <c r="EB16" s="361"/>
      <c r="EC16" s="361"/>
      <c r="ED16" s="361"/>
      <c r="EE16" s="361"/>
      <c r="EF16" s="361"/>
      <c r="EG16" s="361"/>
      <c r="EH16" s="361"/>
      <c r="EI16" s="361"/>
      <c r="EJ16" s="361"/>
      <c r="EK16" s="361"/>
      <c r="EL16" s="361"/>
      <c r="EM16" s="361"/>
      <c r="EN16" s="361"/>
      <c r="EO16" s="361"/>
      <c r="EP16" s="361"/>
      <c r="EQ16" s="361"/>
      <c r="ER16" s="361"/>
      <c r="ES16" s="361"/>
      <c r="ET16" s="361"/>
      <c r="EU16" s="361"/>
      <c r="EV16" s="361"/>
      <c r="EW16" s="361"/>
      <c r="EX16" s="361"/>
      <c r="EY16" s="361"/>
      <c r="EZ16" s="361"/>
      <c r="FA16" s="361"/>
      <c r="FB16" s="361"/>
      <c r="FC16" s="361"/>
      <c r="FD16" s="361"/>
      <c r="FE16" s="361"/>
      <c r="FF16" s="361"/>
      <c r="FG16" s="361"/>
      <c r="FH16" s="361"/>
      <c r="FI16" s="361"/>
      <c r="FJ16" s="361"/>
      <c r="FK16" s="361"/>
      <c r="FL16" s="361"/>
      <c r="FM16" s="361"/>
      <c r="FN16" s="361"/>
      <c r="FO16" s="361"/>
      <c r="FP16" s="361"/>
      <c r="FQ16" s="361"/>
      <c r="FR16" s="361"/>
      <c r="FS16" s="361"/>
      <c r="FT16" s="361"/>
      <c r="FU16" s="361"/>
      <c r="FV16" s="361"/>
      <c r="FW16" s="361"/>
      <c r="FX16" s="361"/>
      <c r="FY16" s="361"/>
      <c r="FZ16" s="361"/>
      <c r="GA16" s="361"/>
      <c r="GB16" s="361"/>
      <c r="GC16" s="361"/>
      <c r="GD16" s="361"/>
      <c r="GE16" s="361"/>
      <c r="GF16" s="361"/>
      <c r="GG16" s="361"/>
      <c r="GH16" s="361"/>
      <c r="GI16" s="361"/>
      <c r="GJ16" s="361"/>
      <c r="GK16" s="361"/>
      <c r="GL16" s="361"/>
      <c r="GM16" s="361"/>
      <c r="GN16" s="361"/>
      <c r="GO16" s="361"/>
      <c r="GP16" s="361"/>
      <c r="GQ16" s="361"/>
      <c r="GR16" s="361"/>
      <c r="GS16" s="361"/>
      <c r="GT16" s="361"/>
      <c r="GU16" s="361"/>
      <c r="GV16" s="361"/>
      <c r="GW16" s="361"/>
      <c r="GX16" s="361"/>
      <c r="GY16" s="361"/>
      <c r="GZ16" s="361"/>
      <c r="HA16" s="361"/>
      <c r="HB16" s="361"/>
      <c r="HC16" s="361"/>
      <c r="HD16" s="361"/>
      <c r="HE16" s="361"/>
      <c r="HF16" s="361"/>
      <c r="HG16" s="361"/>
      <c r="HH16" s="361"/>
      <c r="HI16" s="361"/>
      <c r="HJ16" s="361"/>
      <c r="HK16" s="361"/>
      <c r="HL16" s="361"/>
      <c r="HM16" s="361"/>
      <c r="HN16" s="361"/>
      <c r="HO16" s="361"/>
      <c r="HP16" s="361"/>
      <c r="HQ16" s="361"/>
      <c r="HR16" s="361"/>
      <c r="HS16" s="361"/>
      <c r="HT16" s="361"/>
      <c r="HU16" s="361"/>
      <c r="HV16" s="361"/>
      <c r="HW16" s="361"/>
      <c r="HX16" s="361"/>
      <c r="HY16" s="361"/>
      <c r="HZ16" s="361"/>
      <c r="IA16" s="361"/>
      <c r="IB16" s="361"/>
      <c r="IC16" s="361"/>
      <c r="ID16" s="361"/>
      <c r="IE16" s="361"/>
      <c r="IF16" s="361"/>
      <c r="IG16" s="361"/>
      <c r="IH16" s="361"/>
      <c r="II16" s="361"/>
      <c r="IJ16" s="361"/>
      <c r="IK16" s="361"/>
      <c r="IL16" s="361"/>
      <c r="IM16" s="361"/>
      <c r="IN16" s="361"/>
      <c r="IO16" s="361"/>
      <c r="IP16" s="384"/>
      <c r="IQ16" s="384"/>
      <c r="IR16" s="384"/>
      <c r="IS16" s="384"/>
      <c r="IT16" s="384"/>
      <c r="IU16" s="384"/>
      <c r="IV16" s="384"/>
      <c r="IW16" s="384"/>
      <c r="IX16" s="384"/>
      <c r="IY16" s="346" t="s">
        <v>70</v>
      </c>
      <c r="IZ16" s="346"/>
      <c r="JA16" s="346"/>
      <c r="JB16" s="346"/>
      <c r="JC16" s="346"/>
      <c r="JD16" s="346"/>
      <c r="JE16" s="384"/>
    </row>
    <row r="17" spans="1:265" s="179" customFormat="1" ht="19.95" customHeight="1">
      <c r="A17" s="442"/>
      <c r="B17" s="333" t="s">
        <v>143</v>
      </c>
      <c r="C17" s="328" t="s">
        <v>73</v>
      </c>
      <c r="D17" s="709" t="s">
        <v>148</v>
      </c>
      <c r="E17" s="443">
        <f>COUNTIFS(Table1351452010[[#All],[Sales]],"คุณนิยนต์ อยู่ทะเล",Table1351452010[[#All],[ค่าเชื่อมสัญญาณ/
ค่าติดตั้ง/
ค่าขายอุปกรณ์]],"&gt;1")</f>
        <v>0</v>
      </c>
      <c r="F17" s="444">
        <f>SUMIF(Table1351452010[[#All],[Sales]],"คุณนิยนต์ อยู่ทะเล",Table1351452010[[#All],[Total
ค่าเชื่มสัญญาณ/ค่าติดตั้ง/
ค่าขายอุปกรณ์
(2)]])</f>
        <v>0</v>
      </c>
      <c r="G17" s="431">
        <v>0</v>
      </c>
      <c r="H17" s="433">
        <f t="shared" si="2"/>
        <v>0</v>
      </c>
      <c r="I17" s="359"/>
      <c r="J17" s="359"/>
      <c r="K17" s="359"/>
      <c r="L17" s="359"/>
      <c r="M17" s="380"/>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361"/>
      <c r="BJ17" s="361"/>
      <c r="BK17" s="361"/>
      <c r="BL17" s="361"/>
      <c r="BM17" s="361"/>
      <c r="BN17" s="361"/>
      <c r="BO17" s="361"/>
      <c r="BP17" s="361"/>
      <c r="BQ17" s="361"/>
      <c r="BR17" s="361"/>
      <c r="BS17" s="361"/>
      <c r="BT17" s="361"/>
      <c r="BU17" s="361"/>
      <c r="BV17" s="361"/>
      <c r="BW17" s="361"/>
      <c r="BX17" s="361"/>
      <c r="BY17" s="361"/>
      <c r="BZ17" s="361"/>
      <c r="CA17" s="361"/>
      <c r="CB17" s="361"/>
      <c r="CC17" s="361"/>
      <c r="CD17" s="361"/>
      <c r="CE17" s="361"/>
      <c r="CF17" s="361"/>
      <c r="CG17" s="361"/>
      <c r="CH17" s="361"/>
      <c r="CI17" s="361"/>
      <c r="CJ17" s="361"/>
      <c r="CK17" s="361"/>
      <c r="CL17" s="361"/>
      <c r="CM17" s="361"/>
      <c r="CN17" s="361"/>
      <c r="CO17" s="361"/>
      <c r="CP17" s="361"/>
      <c r="CQ17" s="361"/>
      <c r="CR17" s="361"/>
      <c r="CS17" s="361"/>
      <c r="CT17" s="361"/>
      <c r="CU17" s="361"/>
      <c r="CV17" s="361"/>
      <c r="CW17" s="361"/>
      <c r="CX17" s="361"/>
      <c r="CY17" s="361"/>
      <c r="CZ17" s="361"/>
      <c r="DA17" s="361"/>
      <c r="DB17" s="361"/>
      <c r="DC17" s="361"/>
      <c r="DD17" s="361"/>
      <c r="DE17" s="361"/>
      <c r="DF17" s="361"/>
      <c r="DG17" s="361"/>
      <c r="DH17" s="361"/>
      <c r="DI17" s="361"/>
      <c r="DJ17" s="361"/>
      <c r="DK17" s="361"/>
      <c r="DL17" s="361"/>
      <c r="DM17" s="361"/>
      <c r="DN17" s="361"/>
      <c r="DO17" s="361"/>
      <c r="DP17" s="361"/>
      <c r="DQ17" s="361"/>
      <c r="DR17" s="361"/>
      <c r="DS17" s="361"/>
      <c r="DT17" s="361"/>
      <c r="DU17" s="361"/>
      <c r="DV17" s="361"/>
      <c r="DW17" s="361"/>
      <c r="DX17" s="361"/>
      <c r="DY17" s="361"/>
      <c r="DZ17" s="361"/>
      <c r="EA17" s="361"/>
      <c r="EB17" s="361"/>
      <c r="EC17" s="361"/>
      <c r="ED17" s="361"/>
      <c r="EE17" s="361"/>
      <c r="EF17" s="361"/>
      <c r="EG17" s="361"/>
      <c r="EH17" s="361"/>
      <c r="EI17" s="361"/>
      <c r="EJ17" s="361"/>
      <c r="EK17" s="361"/>
      <c r="EL17" s="361"/>
      <c r="EM17" s="361"/>
      <c r="EN17" s="361"/>
      <c r="EO17" s="361"/>
      <c r="EP17" s="361"/>
      <c r="EQ17" s="361"/>
      <c r="ER17" s="361"/>
      <c r="ES17" s="361"/>
      <c r="ET17" s="361"/>
      <c r="EU17" s="361"/>
      <c r="EV17" s="361"/>
      <c r="EW17" s="361"/>
      <c r="EX17" s="361"/>
      <c r="EY17" s="361"/>
      <c r="EZ17" s="361"/>
      <c r="FA17" s="361"/>
      <c r="FB17" s="361"/>
      <c r="FC17" s="361"/>
      <c r="FD17" s="361"/>
      <c r="FE17" s="361"/>
      <c r="FF17" s="361"/>
      <c r="FG17" s="361"/>
      <c r="FH17" s="361"/>
      <c r="FI17" s="361"/>
      <c r="FJ17" s="361"/>
      <c r="FK17" s="361"/>
      <c r="FL17" s="361"/>
      <c r="FM17" s="361"/>
      <c r="FN17" s="361"/>
      <c r="FO17" s="361"/>
      <c r="FP17" s="361"/>
      <c r="FQ17" s="361"/>
      <c r="FR17" s="361"/>
      <c r="FS17" s="361"/>
      <c r="FT17" s="361"/>
      <c r="FU17" s="361"/>
      <c r="FV17" s="361"/>
      <c r="FW17" s="361"/>
      <c r="FX17" s="361"/>
      <c r="FY17" s="361"/>
      <c r="FZ17" s="361"/>
      <c r="GA17" s="361"/>
      <c r="GB17" s="361"/>
      <c r="GC17" s="361"/>
      <c r="GD17" s="361"/>
      <c r="GE17" s="361"/>
      <c r="GF17" s="361"/>
      <c r="GG17" s="361"/>
      <c r="GH17" s="361"/>
      <c r="GI17" s="361"/>
      <c r="GJ17" s="361"/>
      <c r="GK17" s="361"/>
      <c r="GL17" s="361"/>
      <c r="GM17" s="361"/>
      <c r="GN17" s="361"/>
      <c r="GO17" s="361"/>
      <c r="GP17" s="361"/>
      <c r="GQ17" s="361"/>
      <c r="GR17" s="361"/>
      <c r="GS17" s="361"/>
      <c r="GT17" s="361"/>
      <c r="GU17" s="361"/>
      <c r="GV17" s="361"/>
      <c r="GW17" s="361"/>
      <c r="GX17" s="361"/>
      <c r="GY17" s="361"/>
      <c r="GZ17" s="361"/>
      <c r="HA17" s="361"/>
      <c r="HB17" s="361"/>
      <c r="HC17" s="361"/>
      <c r="HD17" s="361"/>
      <c r="HE17" s="361"/>
      <c r="HF17" s="361"/>
      <c r="HG17" s="361"/>
      <c r="HH17" s="361"/>
      <c r="HI17" s="361"/>
      <c r="HJ17" s="361"/>
      <c r="HK17" s="361"/>
      <c r="HL17" s="361"/>
      <c r="HM17" s="361"/>
      <c r="HN17" s="361"/>
      <c r="HO17" s="361"/>
      <c r="HP17" s="361"/>
      <c r="HQ17" s="361"/>
      <c r="HR17" s="361"/>
      <c r="HS17" s="361"/>
      <c r="HT17" s="361"/>
      <c r="HU17" s="361"/>
      <c r="HV17" s="361"/>
      <c r="HW17" s="361"/>
      <c r="HX17" s="361"/>
      <c r="HY17" s="361"/>
      <c r="HZ17" s="361"/>
      <c r="IA17" s="361"/>
      <c r="IB17" s="361"/>
      <c r="IC17" s="361"/>
      <c r="ID17" s="361"/>
      <c r="IE17" s="361"/>
      <c r="IF17" s="361"/>
      <c r="IG17" s="361"/>
      <c r="IH17" s="361"/>
      <c r="II17" s="361"/>
      <c r="IJ17" s="361"/>
      <c r="IK17" s="361"/>
      <c r="IL17" s="361"/>
      <c r="IM17" s="361"/>
      <c r="IN17" s="361"/>
      <c r="IO17" s="361"/>
      <c r="IP17" s="384"/>
      <c r="IQ17" s="384"/>
      <c r="IR17" s="384"/>
      <c r="IS17" s="384"/>
      <c r="IT17" s="384"/>
      <c r="IU17" s="384"/>
      <c r="IV17" s="384"/>
      <c r="IW17" s="384"/>
      <c r="IX17" s="384"/>
      <c r="IY17" s="346" t="s">
        <v>71</v>
      </c>
      <c r="IZ17" s="346"/>
      <c r="JA17" s="346"/>
      <c r="JB17" s="346"/>
      <c r="JC17" s="346"/>
      <c r="JD17" s="346"/>
      <c r="JE17" s="384"/>
    </row>
    <row r="18" spans="1:265" s="179" customFormat="1" ht="19.95" customHeight="1">
      <c r="A18" s="442"/>
      <c r="B18" s="333" t="s">
        <v>40</v>
      </c>
      <c r="C18" s="328" t="s">
        <v>74</v>
      </c>
      <c r="D18" s="178"/>
      <c r="E18" s="443">
        <f>COUNTIFS(Table1351452010[[#All],[Sales]],"คุณจินตนา อ้อยหวาน",Table1351452010[[#All],[ค่าเชื่อมสัญญาณ/
ค่าติดตั้ง/
ค่าขายอุปกรณ์]],"&gt;1")</f>
        <v>0</v>
      </c>
      <c r="F18" s="444">
        <f>SUMIF(Table1351452010[[#All],[Sales]],"คุณจินตนา อ้อยหวาน",Table1351452010[[#All],[Total
ค่าเชื่มสัญญาณ/ค่าติดตั้ง/
ค่าขายอุปกรณ์
(2)]])</f>
        <v>0</v>
      </c>
      <c r="G18" s="431">
        <v>0</v>
      </c>
      <c r="H18" s="433">
        <f t="shared" si="2"/>
        <v>0</v>
      </c>
      <c r="I18" s="359"/>
      <c r="J18" s="359"/>
      <c r="K18" s="359"/>
      <c r="L18" s="359"/>
      <c r="M18" s="67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61"/>
      <c r="BI18" s="361"/>
      <c r="BJ18" s="361"/>
      <c r="BK18" s="361"/>
      <c r="BL18" s="361"/>
      <c r="BM18" s="361"/>
      <c r="BN18" s="361"/>
      <c r="BO18" s="361"/>
      <c r="BP18" s="361"/>
      <c r="BQ18" s="361"/>
      <c r="BR18" s="361"/>
      <c r="BS18" s="361"/>
      <c r="BT18" s="361"/>
      <c r="BU18" s="361"/>
      <c r="BV18" s="361"/>
      <c r="BW18" s="361"/>
      <c r="BX18" s="361"/>
      <c r="BY18" s="361"/>
      <c r="BZ18" s="361"/>
      <c r="CA18" s="361"/>
      <c r="CB18" s="361"/>
      <c r="CC18" s="361"/>
      <c r="CD18" s="361"/>
      <c r="CE18" s="361"/>
      <c r="CF18" s="361"/>
      <c r="CG18" s="361"/>
      <c r="CH18" s="361"/>
      <c r="CI18" s="361"/>
      <c r="CJ18" s="361"/>
      <c r="CK18" s="361"/>
      <c r="CL18" s="361"/>
      <c r="CM18" s="361"/>
      <c r="CN18" s="361"/>
      <c r="CO18" s="361"/>
      <c r="CP18" s="361"/>
      <c r="CQ18" s="361"/>
      <c r="CR18" s="361"/>
      <c r="CS18" s="361"/>
      <c r="CT18" s="361"/>
      <c r="CU18" s="361"/>
      <c r="CV18" s="361"/>
      <c r="CW18" s="361"/>
      <c r="CX18" s="361"/>
      <c r="CY18" s="361"/>
      <c r="CZ18" s="361"/>
      <c r="DA18" s="361"/>
      <c r="DB18" s="361"/>
      <c r="DC18" s="361"/>
      <c r="DD18" s="361"/>
      <c r="DE18" s="361"/>
      <c r="DF18" s="361"/>
      <c r="DG18" s="361"/>
      <c r="DH18" s="361"/>
      <c r="DI18" s="361"/>
      <c r="DJ18" s="361"/>
      <c r="DK18" s="361"/>
      <c r="DL18" s="361"/>
      <c r="DM18" s="361"/>
      <c r="DN18" s="361"/>
      <c r="DO18" s="361"/>
      <c r="DP18" s="361"/>
      <c r="DQ18" s="361"/>
      <c r="DR18" s="361"/>
      <c r="DS18" s="361"/>
      <c r="DT18" s="361"/>
      <c r="DU18" s="361"/>
      <c r="DV18" s="361"/>
      <c r="DW18" s="361"/>
      <c r="DX18" s="361"/>
      <c r="DY18" s="361"/>
      <c r="DZ18" s="361"/>
      <c r="EA18" s="361"/>
      <c r="EB18" s="361"/>
      <c r="EC18" s="361"/>
      <c r="ED18" s="361"/>
      <c r="EE18" s="361"/>
      <c r="EF18" s="361"/>
      <c r="EG18" s="361"/>
      <c r="EH18" s="361"/>
      <c r="EI18" s="361"/>
      <c r="EJ18" s="361"/>
      <c r="EK18" s="361"/>
      <c r="EL18" s="361"/>
      <c r="EM18" s="361"/>
      <c r="EN18" s="361"/>
      <c r="EO18" s="361"/>
      <c r="EP18" s="361"/>
      <c r="EQ18" s="361"/>
      <c r="ER18" s="361"/>
      <c r="ES18" s="361"/>
      <c r="ET18" s="361"/>
      <c r="EU18" s="361"/>
      <c r="EV18" s="361"/>
      <c r="EW18" s="361"/>
      <c r="EX18" s="361"/>
      <c r="EY18" s="361"/>
      <c r="EZ18" s="361"/>
      <c r="FA18" s="361"/>
      <c r="FB18" s="361"/>
      <c r="FC18" s="361"/>
      <c r="FD18" s="361"/>
      <c r="FE18" s="361"/>
      <c r="FF18" s="361"/>
      <c r="FG18" s="361"/>
      <c r="FH18" s="361"/>
      <c r="FI18" s="361"/>
      <c r="FJ18" s="361"/>
      <c r="FK18" s="361"/>
      <c r="FL18" s="361"/>
      <c r="FM18" s="361"/>
      <c r="FN18" s="361"/>
      <c r="FO18" s="361"/>
      <c r="FP18" s="361"/>
      <c r="FQ18" s="361"/>
      <c r="FR18" s="361"/>
      <c r="FS18" s="361"/>
      <c r="FT18" s="361"/>
      <c r="FU18" s="361"/>
      <c r="FV18" s="361"/>
      <c r="FW18" s="361"/>
      <c r="FX18" s="361"/>
      <c r="FY18" s="361"/>
      <c r="FZ18" s="361"/>
      <c r="GA18" s="361"/>
      <c r="GB18" s="361"/>
      <c r="GC18" s="361"/>
      <c r="GD18" s="361"/>
      <c r="GE18" s="361"/>
      <c r="GF18" s="361"/>
      <c r="GG18" s="361"/>
      <c r="GH18" s="361"/>
      <c r="GI18" s="361"/>
      <c r="GJ18" s="361"/>
      <c r="GK18" s="361"/>
      <c r="GL18" s="361"/>
      <c r="GM18" s="361"/>
      <c r="GN18" s="361"/>
      <c r="GO18" s="361"/>
      <c r="GP18" s="361"/>
      <c r="GQ18" s="361"/>
      <c r="GR18" s="361"/>
      <c r="GS18" s="361"/>
      <c r="GT18" s="361"/>
      <c r="GU18" s="361"/>
      <c r="GV18" s="361"/>
      <c r="GW18" s="361"/>
      <c r="GX18" s="361"/>
      <c r="GY18" s="361"/>
      <c r="GZ18" s="361"/>
      <c r="HA18" s="361"/>
      <c r="HB18" s="361"/>
      <c r="HC18" s="361"/>
      <c r="HD18" s="361"/>
      <c r="HE18" s="361"/>
      <c r="HF18" s="361"/>
      <c r="HG18" s="361"/>
      <c r="HH18" s="361"/>
      <c r="HI18" s="361"/>
      <c r="HJ18" s="361"/>
      <c r="HK18" s="361"/>
      <c r="HL18" s="361"/>
      <c r="HM18" s="361"/>
      <c r="HN18" s="361"/>
      <c r="HO18" s="361"/>
      <c r="HP18" s="361"/>
      <c r="HQ18" s="361"/>
      <c r="HR18" s="361"/>
      <c r="HS18" s="361"/>
      <c r="HT18" s="361"/>
      <c r="HU18" s="361"/>
      <c r="HV18" s="361"/>
      <c r="HW18" s="361"/>
      <c r="HX18" s="361"/>
      <c r="HY18" s="361"/>
      <c r="HZ18" s="361"/>
      <c r="IA18" s="361"/>
      <c r="IB18" s="361"/>
      <c r="IC18" s="361"/>
      <c r="ID18" s="361"/>
      <c r="IE18" s="361"/>
      <c r="IF18" s="361"/>
      <c r="IG18" s="361"/>
      <c r="IH18" s="361"/>
      <c r="II18" s="361"/>
      <c r="IJ18" s="361"/>
      <c r="IK18" s="361"/>
      <c r="IL18" s="361"/>
      <c r="IM18" s="361"/>
      <c r="IN18" s="361"/>
      <c r="IO18" s="361"/>
      <c r="IP18" s="384"/>
      <c r="IQ18" s="384"/>
      <c r="IR18" s="384"/>
      <c r="IS18" s="384"/>
      <c r="IT18" s="384"/>
      <c r="IU18" s="384"/>
      <c r="IV18" s="384"/>
      <c r="IW18" s="384"/>
      <c r="IX18" s="384"/>
      <c r="IY18" s="346" t="s">
        <v>73</v>
      </c>
      <c r="IZ18" s="346"/>
      <c r="JA18" s="346"/>
      <c r="JB18" s="346"/>
      <c r="JC18" s="346"/>
      <c r="JD18" s="346"/>
      <c r="JE18" s="384"/>
    </row>
    <row r="19" spans="1:265" s="179" customFormat="1" ht="19.95" customHeight="1">
      <c r="A19" s="442"/>
      <c r="B19" s="333"/>
      <c r="C19" s="328" t="s">
        <v>75</v>
      </c>
      <c r="D19" s="178"/>
      <c r="E19" s="443">
        <f>COUNTIFS(Table1351452010[[#All],[Sales]],"คุณพัชรพรรณ พึ่งพา",Table1351452010[[#All],[ค่าเชื่อมสัญญาณ/
ค่าติดตั้ง/
ค่าขายอุปกรณ์]],"&gt;1")</f>
        <v>0</v>
      </c>
      <c r="F19" s="444">
        <f>SUMIF(Table1351452010[[#All],[Sales]],"คุณพัชรพรรณ พึ่งพา",Table1351452010[[#All],[Total
ค่าเชื่มสัญญาณ/ค่าติดตั้ง/
ค่าขายอุปกรณ์
(2)]])</f>
        <v>0</v>
      </c>
      <c r="G19" s="431">
        <v>0</v>
      </c>
      <c r="H19" s="433">
        <f t="shared" si="2"/>
        <v>0</v>
      </c>
      <c r="I19" s="359"/>
      <c r="J19" s="359"/>
      <c r="K19" s="359"/>
      <c r="L19" s="359"/>
      <c r="M19" s="380"/>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361"/>
      <c r="BE19" s="361"/>
      <c r="BF19" s="361"/>
      <c r="BG19" s="361"/>
      <c r="BH19" s="361"/>
      <c r="BI19" s="361"/>
      <c r="BJ19" s="361"/>
      <c r="BK19" s="361"/>
      <c r="BL19" s="361"/>
      <c r="BM19" s="361"/>
      <c r="BN19" s="361"/>
      <c r="BO19" s="361"/>
      <c r="BP19" s="361"/>
      <c r="BQ19" s="361"/>
      <c r="BR19" s="361"/>
      <c r="BS19" s="361"/>
      <c r="BT19" s="361"/>
      <c r="BU19" s="361"/>
      <c r="BV19" s="361"/>
      <c r="BW19" s="361"/>
      <c r="BX19" s="361"/>
      <c r="BY19" s="361"/>
      <c r="BZ19" s="361"/>
      <c r="CA19" s="361"/>
      <c r="CB19" s="361"/>
      <c r="CC19" s="361"/>
      <c r="CD19" s="361"/>
      <c r="CE19" s="361"/>
      <c r="CF19" s="361"/>
      <c r="CG19" s="361"/>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c r="DK19" s="361"/>
      <c r="DL19" s="361"/>
      <c r="DM19" s="361"/>
      <c r="DN19" s="361"/>
      <c r="DO19" s="361"/>
      <c r="DP19" s="361"/>
      <c r="DQ19" s="361"/>
      <c r="DR19" s="361"/>
      <c r="DS19" s="361"/>
      <c r="DT19" s="361"/>
      <c r="DU19" s="361"/>
      <c r="DV19" s="361"/>
      <c r="DW19" s="361"/>
      <c r="DX19" s="361"/>
      <c r="DY19" s="361"/>
      <c r="DZ19" s="361"/>
      <c r="EA19" s="361"/>
      <c r="EB19" s="361"/>
      <c r="EC19" s="361"/>
      <c r="ED19" s="361"/>
      <c r="EE19" s="361"/>
      <c r="EF19" s="361"/>
      <c r="EG19" s="361"/>
      <c r="EH19" s="361"/>
      <c r="EI19" s="361"/>
      <c r="EJ19" s="361"/>
      <c r="EK19" s="361"/>
      <c r="EL19" s="361"/>
      <c r="EM19" s="361"/>
      <c r="EN19" s="361"/>
      <c r="EO19" s="361"/>
      <c r="EP19" s="361"/>
      <c r="EQ19" s="361"/>
      <c r="ER19" s="361"/>
      <c r="ES19" s="361"/>
      <c r="ET19" s="361"/>
      <c r="EU19" s="361"/>
      <c r="EV19" s="361"/>
      <c r="EW19" s="361"/>
      <c r="EX19" s="361"/>
      <c r="EY19" s="361"/>
      <c r="EZ19" s="361"/>
      <c r="FA19" s="361"/>
      <c r="FB19" s="361"/>
      <c r="FC19" s="361"/>
      <c r="FD19" s="361"/>
      <c r="FE19" s="361"/>
      <c r="FF19" s="361"/>
      <c r="FG19" s="361"/>
      <c r="FH19" s="361"/>
      <c r="FI19" s="361"/>
      <c r="FJ19" s="361"/>
      <c r="FK19" s="361"/>
      <c r="FL19" s="361"/>
      <c r="FM19" s="361"/>
      <c r="FN19" s="361"/>
      <c r="FO19" s="361"/>
      <c r="FP19" s="361"/>
      <c r="FQ19" s="361"/>
      <c r="FR19" s="361"/>
      <c r="FS19" s="361"/>
      <c r="FT19" s="361"/>
      <c r="FU19" s="361"/>
      <c r="FV19" s="361"/>
      <c r="FW19" s="361"/>
      <c r="FX19" s="361"/>
      <c r="FY19" s="361"/>
      <c r="FZ19" s="361"/>
      <c r="GA19" s="361"/>
      <c r="GB19" s="361"/>
      <c r="GC19" s="361"/>
      <c r="GD19" s="361"/>
      <c r="GE19" s="361"/>
      <c r="GF19" s="361"/>
      <c r="GG19" s="361"/>
      <c r="GH19" s="361"/>
      <c r="GI19" s="361"/>
      <c r="GJ19" s="361"/>
      <c r="GK19" s="361"/>
      <c r="GL19" s="361"/>
      <c r="GM19" s="361"/>
      <c r="GN19" s="361"/>
      <c r="GO19" s="361"/>
      <c r="GP19" s="361"/>
      <c r="GQ19" s="361"/>
      <c r="GR19" s="361"/>
      <c r="GS19" s="361"/>
      <c r="GT19" s="361"/>
      <c r="GU19" s="361"/>
      <c r="GV19" s="361"/>
      <c r="GW19" s="361"/>
      <c r="GX19" s="361"/>
      <c r="GY19" s="361"/>
      <c r="GZ19" s="361"/>
      <c r="HA19" s="361"/>
      <c r="HB19" s="361"/>
      <c r="HC19" s="361"/>
      <c r="HD19" s="361"/>
      <c r="HE19" s="361"/>
      <c r="HF19" s="361"/>
      <c r="HG19" s="361"/>
      <c r="HH19" s="361"/>
      <c r="HI19" s="361"/>
      <c r="HJ19" s="361"/>
      <c r="HK19" s="361"/>
      <c r="HL19" s="361"/>
      <c r="HM19" s="361"/>
      <c r="HN19" s="361"/>
      <c r="HO19" s="361"/>
      <c r="HP19" s="361"/>
      <c r="HQ19" s="361"/>
      <c r="HR19" s="361"/>
      <c r="HS19" s="361"/>
      <c r="HT19" s="361"/>
      <c r="HU19" s="361"/>
      <c r="HV19" s="361"/>
      <c r="HW19" s="361"/>
      <c r="HX19" s="361"/>
      <c r="HY19" s="361"/>
      <c r="HZ19" s="361"/>
      <c r="IA19" s="361"/>
      <c r="IB19" s="361"/>
      <c r="IC19" s="361"/>
      <c r="ID19" s="361"/>
      <c r="IE19" s="361"/>
      <c r="IF19" s="361"/>
      <c r="IG19" s="361"/>
      <c r="IH19" s="361"/>
      <c r="II19" s="361"/>
      <c r="IJ19" s="361"/>
      <c r="IK19" s="361"/>
      <c r="IL19" s="361"/>
      <c r="IM19" s="361"/>
      <c r="IN19" s="361"/>
      <c r="IO19" s="361"/>
      <c r="IP19" s="384"/>
      <c r="IQ19" s="384"/>
      <c r="IR19" s="384"/>
      <c r="IS19" s="384"/>
      <c r="IT19" s="384"/>
      <c r="IU19" s="384"/>
      <c r="IV19" s="384"/>
      <c r="IW19" s="384"/>
      <c r="IX19" s="384"/>
      <c r="IY19" s="346" t="s">
        <v>74</v>
      </c>
      <c r="IZ19" s="346"/>
      <c r="JA19" s="346"/>
      <c r="JB19" s="346"/>
      <c r="JC19" s="346"/>
      <c r="JD19" s="346"/>
      <c r="JE19" s="384"/>
    </row>
    <row r="20" spans="1:265" s="179" customFormat="1" ht="19.95" customHeight="1">
      <c r="A20" s="442"/>
      <c r="B20" s="333"/>
      <c r="C20" s="328" t="s">
        <v>152</v>
      </c>
      <c r="D20" s="178"/>
      <c r="E20" s="443">
        <f>COUNTIFS(Table1351452010[[#All],[Sales]],"คุณนรินทร์ ปิงมูล",Table1351452010[[#All],[ค่าเชื่อมสัญญาณ/
ค่าติดตั้ง/
ค่าขายอุปกรณ์]],"&gt;1")</f>
        <v>0</v>
      </c>
      <c r="F20" s="444">
        <f>SUMIF(Table1351452010[[#All],[Sales]],"คุณนรินทร์ ปิงมูล",Table1351452010[[#All],[Total
ค่าเชื่มสัญญาณ/ค่าติดตั้ง/
ค่าขายอุปกรณ์
(2)]])</f>
        <v>0</v>
      </c>
      <c r="G20" s="431">
        <v>0</v>
      </c>
      <c r="H20" s="433">
        <f t="shared" si="2"/>
        <v>0</v>
      </c>
      <c r="I20" s="359"/>
      <c r="J20" s="359"/>
      <c r="K20" s="359"/>
      <c r="L20" s="359"/>
      <c r="M20" s="380"/>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1"/>
      <c r="BJ20" s="361"/>
      <c r="BK20" s="361"/>
      <c r="BL20" s="361"/>
      <c r="BM20" s="361"/>
      <c r="BN20" s="361"/>
      <c r="BO20" s="361"/>
      <c r="BP20" s="361"/>
      <c r="BQ20" s="361"/>
      <c r="BR20" s="361"/>
      <c r="BS20" s="361"/>
      <c r="BT20" s="361"/>
      <c r="BU20" s="361"/>
      <c r="BV20" s="361"/>
      <c r="BW20" s="361"/>
      <c r="BX20" s="361"/>
      <c r="BY20" s="361"/>
      <c r="BZ20" s="361"/>
      <c r="CA20" s="361"/>
      <c r="CB20" s="361"/>
      <c r="CC20" s="361"/>
      <c r="CD20" s="361"/>
      <c r="CE20" s="361"/>
      <c r="CF20" s="361"/>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DK20" s="361"/>
      <c r="DL20" s="361"/>
      <c r="DM20" s="361"/>
      <c r="DN20" s="361"/>
      <c r="DO20" s="361"/>
      <c r="DP20" s="361"/>
      <c r="DQ20" s="361"/>
      <c r="DR20" s="361"/>
      <c r="DS20" s="361"/>
      <c r="DT20" s="361"/>
      <c r="DU20" s="361"/>
      <c r="DV20" s="361"/>
      <c r="DW20" s="361"/>
      <c r="DX20" s="361"/>
      <c r="DY20" s="361"/>
      <c r="DZ20" s="361"/>
      <c r="EA20" s="361"/>
      <c r="EB20" s="361"/>
      <c r="EC20" s="361"/>
      <c r="ED20" s="361"/>
      <c r="EE20" s="361"/>
      <c r="EF20" s="361"/>
      <c r="EG20" s="361"/>
      <c r="EH20" s="361"/>
      <c r="EI20" s="361"/>
      <c r="EJ20" s="361"/>
      <c r="EK20" s="361"/>
      <c r="EL20" s="361"/>
      <c r="EM20" s="361"/>
      <c r="EN20" s="361"/>
      <c r="EO20" s="361"/>
      <c r="EP20" s="361"/>
      <c r="EQ20" s="361"/>
      <c r="ER20" s="361"/>
      <c r="ES20" s="361"/>
      <c r="ET20" s="361"/>
      <c r="EU20" s="361"/>
      <c r="EV20" s="361"/>
      <c r="EW20" s="361"/>
      <c r="EX20" s="361"/>
      <c r="EY20" s="361"/>
      <c r="EZ20" s="361"/>
      <c r="FA20" s="361"/>
      <c r="FB20" s="361"/>
      <c r="FC20" s="361"/>
      <c r="FD20" s="361"/>
      <c r="FE20" s="361"/>
      <c r="FF20" s="361"/>
      <c r="FG20" s="361"/>
      <c r="FH20" s="361"/>
      <c r="FI20" s="361"/>
      <c r="FJ20" s="361"/>
      <c r="FK20" s="361"/>
      <c r="FL20" s="361"/>
      <c r="FM20" s="361"/>
      <c r="FN20" s="361"/>
      <c r="FO20" s="361"/>
      <c r="FP20" s="361"/>
      <c r="FQ20" s="361"/>
      <c r="FR20" s="361"/>
      <c r="FS20" s="361"/>
      <c r="FT20" s="361"/>
      <c r="FU20" s="361"/>
      <c r="FV20" s="361"/>
      <c r="FW20" s="361"/>
      <c r="FX20" s="361"/>
      <c r="FY20" s="361"/>
      <c r="FZ20" s="361"/>
      <c r="GA20" s="361"/>
      <c r="GB20" s="361"/>
      <c r="GC20" s="361"/>
      <c r="GD20" s="361"/>
      <c r="GE20" s="361"/>
      <c r="GF20" s="361"/>
      <c r="GG20" s="361"/>
      <c r="GH20" s="361"/>
      <c r="GI20" s="361"/>
      <c r="GJ20" s="361"/>
      <c r="GK20" s="361"/>
      <c r="GL20" s="361"/>
      <c r="GM20" s="361"/>
      <c r="GN20" s="361"/>
      <c r="GO20" s="361"/>
      <c r="GP20" s="361"/>
      <c r="GQ20" s="361"/>
      <c r="GR20" s="361"/>
      <c r="GS20" s="361"/>
      <c r="GT20" s="361"/>
      <c r="GU20" s="361"/>
      <c r="GV20" s="361"/>
      <c r="GW20" s="361"/>
      <c r="GX20" s="361"/>
      <c r="GY20" s="361"/>
      <c r="GZ20" s="361"/>
      <c r="HA20" s="361"/>
      <c r="HB20" s="361"/>
      <c r="HC20" s="361"/>
      <c r="HD20" s="361"/>
      <c r="HE20" s="361"/>
      <c r="HF20" s="361"/>
      <c r="HG20" s="361"/>
      <c r="HH20" s="361"/>
      <c r="HI20" s="361"/>
      <c r="HJ20" s="361"/>
      <c r="HK20" s="361"/>
      <c r="HL20" s="361"/>
      <c r="HM20" s="361"/>
      <c r="HN20" s="361"/>
      <c r="HO20" s="361"/>
      <c r="HP20" s="361"/>
      <c r="HQ20" s="361"/>
      <c r="HR20" s="361"/>
      <c r="HS20" s="361"/>
      <c r="HT20" s="361"/>
      <c r="HU20" s="361"/>
      <c r="HV20" s="361"/>
      <c r="HW20" s="361"/>
      <c r="HX20" s="361"/>
      <c r="HY20" s="361"/>
      <c r="HZ20" s="361"/>
      <c r="IA20" s="361"/>
      <c r="IB20" s="361"/>
      <c r="IC20" s="361"/>
      <c r="ID20" s="361"/>
      <c r="IE20" s="361"/>
      <c r="IF20" s="361"/>
      <c r="IG20" s="361"/>
      <c r="IH20" s="361"/>
      <c r="II20" s="361"/>
      <c r="IJ20" s="361"/>
      <c r="IK20" s="361"/>
      <c r="IL20" s="361"/>
      <c r="IM20" s="361"/>
      <c r="IN20" s="361"/>
      <c r="IO20" s="361"/>
      <c r="IP20" s="384"/>
      <c r="IQ20" s="384"/>
      <c r="IR20" s="384"/>
      <c r="IS20" s="384"/>
      <c r="IT20" s="384"/>
      <c r="IU20" s="384"/>
      <c r="IV20" s="384"/>
      <c r="IW20" s="384"/>
      <c r="IX20" s="384"/>
      <c r="IY20" s="346" t="s">
        <v>75</v>
      </c>
      <c r="IZ20" s="346"/>
      <c r="JA20" s="346"/>
      <c r="JB20" s="346"/>
      <c r="JC20" s="346"/>
      <c r="JD20" s="346"/>
      <c r="JE20" s="384"/>
    </row>
    <row r="21" spans="1:265" s="179" customFormat="1" ht="19.95" customHeight="1">
      <c r="A21" s="442"/>
      <c r="B21" s="333"/>
      <c r="C21" s="328" t="s">
        <v>130</v>
      </c>
      <c r="D21" s="178"/>
      <c r="E21" s="443">
        <f>COUNTIFS(Table1351452010[[#All],[Sales]],"คุณชนัฐฎา สนคะมี",Table1351452010[[#All],[ค่าเชื่อมสัญญาณ/
ค่าติดตั้ง/
ค่าขายอุปกรณ์]],"&gt;1")</f>
        <v>0</v>
      </c>
      <c r="F21" s="444">
        <f>SUMIF(Table1351452010[[#All],[Sales]],"คุณชนัฐฎา สนคะมี",Table1351452010[[#All],[Total
ค่าเชื่มสัญญาณ/ค่าติดตั้ง/
ค่าขายอุปกรณ์
(2)]])</f>
        <v>0</v>
      </c>
      <c r="G21" s="431">
        <v>0</v>
      </c>
      <c r="H21" s="433">
        <f t="shared" si="2"/>
        <v>0</v>
      </c>
      <c r="I21" s="359"/>
      <c r="J21" s="359"/>
      <c r="K21" s="359"/>
      <c r="L21" s="359"/>
      <c r="M21" s="380"/>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1"/>
      <c r="DX21" s="361"/>
      <c r="DY21" s="361"/>
      <c r="DZ21" s="361"/>
      <c r="EA21" s="361"/>
      <c r="EB21" s="361"/>
      <c r="EC21" s="361"/>
      <c r="ED21" s="361"/>
      <c r="EE21" s="361"/>
      <c r="EF21" s="361"/>
      <c r="EG21" s="361"/>
      <c r="EH21" s="361"/>
      <c r="EI21" s="361"/>
      <c r="EJ21" s="361"/>
      <c r="EK21" s="361"/>
      <c r="EL21" s="361"/>
      <c r="EM21" s="361"/>
      <c r="EN21" s="361"/>
      <c r="EO21" s="361"/>
      <c r="EP21" s="361"/>
      <c r="EQ21" s="361"/>
      <c r="ER21" s="361"/>
      <c r="ES21" s="361"/>
      <c r="ET21" s="361"/>
      <c r="EU21" s="361"/>
      <c r="EV21" s="361"/>
      <c r="EW21" s="361"/>
      <c r="EX21" s="361"/>
      <c r="EY21" s="361"/>
      <c r="EZ21" s="361"/>
      <c r="FA21" s="361"/>
      <c r="FB21" s="361"/>
      <c r="FC21" s="361"/>
      <c r="FD21" s="361"/>
      <c r="FE21" s="361"/>
      <c r="FF21" s="361"/>
      <c r="FG21" s="361"/>
      <c r="FH21" s="361"/>
      <c r="FI21" s="361"/>
      <c r="FJ21" s="361"/>
      <c r="FK21" s="361"/>
      <c r="FL21" s="361"/>
      <c r="FM21" s="361"/>
      <c r="FN21" s="361"/>
      <c r="FO21" s="361"/>
      <c r="FP21" s="361"/>
      <c r="FQ21" s="361"/>
      <c r="FR21" s="361"/>
      <c r="FS21" s="361"/>
      <c r="FT21" s="361"/>
      <c r="FU21" s="361"/>
      <c r="FV21" s="361"/>
      <c r="FW21" s="361"/>
      <c r="FX21" s="361"/>
      <c r="FY21" s="361"/>
      <c r="FZ21" s="361"/>
      <c r="GA21" s="361"/>
      <c r="GB21" s="361"/>
      <c r="GC21" s="361"/>
      <c r="GD21" s="361"/>
      <c r="GE21" s="361"/>
      <c r="GF21" s="361"/>
      <c r="GG21" s="361"/>
      <c r="GH21" s="361"/>
      <c r="GI21" s="361"/>
      <c r="GJ21" s="361"/>
      <c r="GK21" s="361"/>
      <c r="GL21" s="361"/>
      <c r="GM21" s="361"/>
      <c r="GN21" s="361"/>
      <c r="GO21" s="361"/>
      <c r="GP21" s="361"/>
      <c r="GQ21" s="361"/>
      <c r="GR21" s="361"/>
      <c r="GS21" s="361"/>
      <c r="GT21" s="361"/>
      <c r="GU21" s="361"/>
      <c r="GV21" s="361"/>
      <c r="GW21" s="361"/>
      <c r="GX21" s="361"/>
      <c r="GY21" s="361"/>
      <c r="GZ21" s="361"/>
      <c r="HA21" s="361"/>
      <c r="HB21" s="361"/>
      <c r="HC21" s="361"/>
      <c r="HD21" s="361"/>
      <c r="HE21" s="361"/>
      <c r="HF21" s="361"/>
      <c r="HG21" s="361"/>
      <c r="HH21" s="361"/>
      <c r="HI21" s="361"/>
      <c r="HJ21" s="361"/>
      <c r="HK21" s="361"/>
      <c r="HL21" s="361"/>
      <c r="HM21" s="361"/>
      <c r="HN21" s="361"/>
      <c r="HO21" s="361"/>
      <c r="HP21" s="361"/>
      <c r="HQ21" s="361"/>
      <c r="HR21" s="361"/>
      <c r="HS21" s="361"/>
      <c r="HT21" s="361"/>
      <c r="HU21" s="361"/>
      <c r="HV21" s="361"/>
      <c r="HW21" s="361"/>
      <c r="HX21" s="361"/>
      <c r="HY21" s="361"/>
      <c r="HZ21" s="361"/>
      <c r="IA21" s="361"/>
      <c r="IB21" s="361"/>
      <c r="IC21" s="361"/>
      <c r="ID21" s="361"/>
      <c r="IE21" s="361"/>
      <c r="IF21" s="361"/>
      <c r="IG21" s="361"/>
      <c r="IH21" s="361"/>
      <c r="II21" s="361"/>
      <c r="IJ21" s="361"/>
      <c r="IK21" s="361"/>
      <c r="IL21" s="361"/>
      <c r="IM21" s="361"/>
      <c r="IN21" s="361"/>
      <c r="IO21" s="361"/>
      <c r="IP21" s="384"/>
      <c r="IQ21" s="384"/>
      <c r="IR21" s="384"/>
      <c r="IS21" s="384"/>
      <c r="IT21" s="384"/>
      <c r="IU21" s="384"/>
      <c r="IV21" s="384"/>
      <c r="IW21" s="384"/>
      <c r="IX21" s="384"/>
      <c r="IY21" s="346" t="s">
        <v>152</v>
      </c>
      <c r="IZ21" s="346"/>
      <c r="JA21" s="346"/>
      <c r="JB21" s="346"/>
      <c r="JC21" s="346"/>
      <c r="JD21" s="346"/>
      <c r="JE21" s="384"/>
    </row>
    <row r="22" spans="1:265" s="179" customFormat="1" ht="19.95" customHeight="1">
      <c r="A22" s="442"/>
      <c r="B22" s="333"/>
      <c r="C22" s="328" t="s">
        <v>151</v>
      </c>
      <c r="D22" s="178"/>
      <c r="E22" s="443">
        <f>COUNTIFS(Table1351452010[[#All],[Sales]],"คุณจิรภิญญา เป็นปึก",Table1351452010[[#All],[ค่าเชื่อมสัญญาณ/
ค่าติดตั้ง/
ค่าขายอุปกรณ์]],"&gt;1")</f>
        <v>0</v>
      </c>
      <c r="F22" s="444">
        <f>SUMIF(Table1351452010[[#All],[Sales]],"คุณจิรภิญญา เป็นปึก",Table1351452010[[#All],[Total
ค่าเชื่มสัญญาณ/ค่าติดตั้ง/
ค่าขายอุปกรณ์
(2)]])</f>
        <v>0</v>
      </c>
      <c r="G22" s="431">
        <v>0</v>
      </c>
      <c r="H22" s="433">
        <f t="shared" si="2"/>
        <v>0</v>
      </c>
      <c r="I22" s="359"/>
      <c r="J22" s="359"/>
      <c r="K22" s="359"/>
      <c r="L22" s="359"/>
      <c r="M22" s="380"/>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J22" s="361"/>
      <c r="BK22" s="361"/>
      <c r="BL22" s="361"/>
      <c r="BM22" s="361"/>
      <c r="BN22" s="361"/>
      <c r="BO22" s="361"/>
      <c r="BP22" s="361"/>
      <c r="BQ22" s="361"/>
      <c r="BR22" s="361"/>
      <c r="BS22" s="361"/>
      <c r="BT22" s="361"/>
      <c r="BU22" s="361"/>
      <c r="BV22" s="361"/>
      <c r="BW22" s="361"/>
      <c r="BX22" s="361"/>
      <c r="BY22" s="361"/>
      <c r="BZ22" s="361"/>
      <c r="CA22" s="361"/>
      <c r="CB22" s="361"/>
      <c r="CC22" s="361"/>
      <c r="CD22" s="361"/>
      <c r="CE22" s="361"/>
      <c r="CF22" s="361"/>
      <c r="CG22" s="361"/>
      <c r="CH22" s="361"/>
      <c r="CI22" s="361"/>
      <c r="CJ22" s="361"/>
      <c r="CK22" s="361"/>
      <c r="CL22" s="361"/>
      <c r="CM22" s="361"/>
      <c r="CN22" s="361"/>
      <c r="CO22" s="361"/>
      <c r="CP22" s="361"/>
      <c r="CQ22" s="361"/>
      <c r="CR22" s="361"/>
      <c r="CS22" s="361"/>
      <c r="CT22" s="361"/>
      <c r="CU22" s="361"/>
      <c r="CV22" s="361"/>
      <c r="CW22" s="361"/>
      <c r="CX22" s="361"/>
      <c r="CY22" s="361"/>
      <c r="CZ22" s="361"/>
      <c r="DA22" s="361"/>
      <c r="DB22" s="361"/>
      <c r="DC22" s="361"/>
      <c r="DD22" s="361"/>
      <c r="DE22" s="361"/>
      <c r="DF22" s="361"/>
      <c r="DG22" s="361"/>
      <c r="DH22" s="361"/>
      <c r="DI22" s="361"/>
      <c r="DJ22" s="361"/>
      <c r="DK22" s="361"/>
      <c r="DL22" s="361"/>
      <c r="DM22" s="361"/>
      <c r="DN22" s="361"/>
      <c r="DO22" s="361"/>
      <c r="DP22" s="361"/>
      <c r="DQ22" s="361"/>
      <c r="DR22" s="361"/>
      <c r="DS22" s="361"/>
      <c r="DT22" s="361"/>
      <c r="DU22" s="361"/>
      <c r="DV22" s="361"/>
      <c r="DW22" s="361"/>
      <c r="DX22" s="361"/>
      <c r="DY22" s="361"/>
      <c r="DZ22" s="361"/>
      <c r="EA22" s="361"/>
      <c r="EB22" s="361"/>
      <c r="EC22" s="361"/>
      <c r="ED22" s="361"/>
      <c r="EE22" s="361"/>
      <c r="EF22" s="361"/>
      <c r="EG22" s="361"/>
      <c r="EH22" s="361"/>
      <c r="EI22" s="361"/>
      <c r="EJ22" s="361"/>
      <c r="EK22" s="361"/>
      <c r="EL22" s="361"/>
      <c r="EM22" s="361"/>
      <c r="EN22" s="361"/>
      <c r="EO22" s="361"/>
      <c r="EP22" s="361"/>
      <c r="EQ22" s="361"/>
      <c r="ER22" s="361"/>
      <c r="ES22" s="361"/>
      <c r="ET22" s="361"/>
      <c r="EU22" s="361"/>
      <c r="EV22" s="361"/>
      <c r="EW22" s="361"/>
      <c r="EX22" s="361"/>
      <c r="EY22" s="361"/>
      <c r="EZ22" s="361"/>
      <c r="FA22" s="361"/>
      <c r="FB22" s="361"/>
      <c r="FC22" s="361"/>
      <c r="FD22" s="361"/>
      <c r="FE22" s="361"/>
      <c r="FF22" s="361"/>
      <c r="FG22" s="361"/>
      <c r="FH22" s="361"/>
      <c r="FI22" s="361"/>
      <c r="FJ22" s="361"/>
      <c r="FK22" s="361"/>
      <c r="FL22" s="361"/>
      <c r="FM22" s="361"/>
      <c r="FN22" s="361"/>
      <c r="FO22" s="361"/>
      <c r="FP22" s="361"/>
      <c r="FQ22" s="361"/>
      <c r="FR22" s="361"/>
      <c r="FS22" s="361"/>
      <c r="FT22" s="361"/>
      <c r="FU22" s="361"/>
      <c r="FV22" s="361"/>
      <c r="FW22" s="361"/>
      <c r="FX22" s="361"/>
      <c r="FY22" s="361"/>
      <c r="FZ22" s="361"/>
      <c r="GA22" s="361"/>
      <c r="GB22" s="361"/>
      <c r="GC22" s="361"/>
      <c r="GD22" s="361"/>
      <c r="GE22" s="361"/>
      <c r="GF22" s="361"/>
      <c r="GG22" s="361"/>
      <c r="GH22" s="361"/>
      <c r="GI22" s="361"/>
      <c r="GJ22" s="361"/>
      <c r="GK22" s="361"/>
      <c r="GL22" s="361"/>
      <c r="GM22" s="361"/>
      <c r="GN22" s="361"/>
      <c r="GO22" s="361"/>
      <c r="GP22" s="361"/>
      <c r="GQ22" s="361"/>
      <c r="GR22" s="361"/>
      <c r="GS22" s="361"/>
      <c r="GT22" s="361"/>
      <c r="GU22" s="361"/>
      <c r="GV22" s="361"/>
      <c r="GW22" s="361"/>
      <c r="GX22" s="361"/>
      <c r="GY22" s="361"/>
      <c r="GZ22" s="361"/>
      <c r="HA22" s="361"/>
      <c r="HB22" s="361"/>
      <c r="HC22" s="361"/>
      <c r="HD22" s="361"/>
      <c r="HE22" s="361"/>
      <c r="HF22" s="361"/>
      <c r="HG22" s="361"/>
      <c r="HH22" s="361"/>
      <c r="HI22" s="361"/>
      <c r="HJ22" s="361"/>
      <c r="HK22" s="361"/>
      <c r="HL22" s="361"/>
      <c r="HM22" s="361"/>
      <c r="HN22" s="361"/>
      <c r="HO22" s="361"/>
      <c r="HP22" s="361"/>
      <c r="HQ22" s="361"/>
      <c r="HR22" s="361"/>
      <c r="HS22" s="361"/>
      <c r="HT22" s="361"/>
      <c r="HU22" s="361"/>
      <c r="HV22" s="361"/>
      <c r="HW22" s="361"/>
      <c r="HX22" s="361"/>
      <c r="HY22" s="361"/>
      <c r="HZ22" s="361"/>
      <c r="IA22" s="361"/>
      <c r="IB22" s="361"/>
      <c r="IC22" s="361"/>
      <c r="ID22" s="361"/>
      <c r="IE22" s="361"/>
      <c r="IF22" s="361"/>
      <c r="IG22" s="361"/>
      <c r="IH22" s="361"/>
      <c r="II22" s="361"/>
      <c r="IJ22" s="361"/>
      <c r="IK22" s="361"/>
      <c r="IL22" s="361"/>
      <c r="IM22" s="361"/>
      <c r="IN22" s="361"/>
      <c r="IO22" s="361"/>
      <c r="IP22" s="384"/>
      <c r="IQ22" s="384"/>
      <c r="IR22" s="384"/>
      <c r="IS22" s="384"/>
      <c r="IT22" s="384"/>
      <c r="IU22" s="384"/>
      <c r="IV22" s="384"/>
      <c r="IW22" s="384"/>
      <c r="IX22" s="384"/>
      <c r="IY22" s="346" t="s">
        <v>130</v>
      </c>
      <c r="IZ22" s="346"/>
      <c r="JA22" s="346"/>
      <c r="JB22" s="346"/>
      <c r="JC22" s="346"/>
      <c r="JD22" s="346"/>
      <c r="JE22" s="384"/>
    </row>
    <row r="23" spans="1:265" s="179" customFormat="1" ht="19.95" customHeight="1">
      <c r="A23" s="442"/>
      <c r="B23" s="333"/>
      <c r="C23" s="328" t="s">
        <v>72</v>
      </c>
      <c r="D23" s="178"/>
      <c r="E23" s="443">
        <f>COUNTIFS(Table1351452010[[#All],[Sales]],"คุณแดง มูลสองแคว",Table1351452010[[#All],[ค่าเชื่อมสัญญาณ/
ค่าติดตั้ง/
ค่าขายอุปกรณ์]],"&gt;1")</f>
        <v>0</v>
      </c>
      <c r="F23" s="444">
        <f>SUMIF(Table1351452010[[#All],[Sales]],"คุณแดง มูลสองแคว",Table1351452010[[#All],[Total
ค่าเชื่มสัญญาณ/ค่าติดตั้ง/
ค่าขายอุปกรณ์
(2)]])</f>
        <v>0</v>
      </c>
      <c r="G23" s="431">
        <v>0</v>
      </c>
      <c r="H23" s="433">
        <f t="shared" si="2"/>
        <v>0</v>
      </c>
      <c r="I23" s="359"/>
      <c r="J23" s="359"/>
      <c r="K23" s="359"/>
      <c r="L23" s="359"/>
      <c r="M23" s="380"/>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1"/>
      <c r="BJ23" s="361"/>
      <c r="BK23" s="361"/>
      <c r="BL23" s="361"/>
      <c r="BM23" s="361"/>
      <c r="BN23" s="361"/>
      <c r="BO23" s="361"/>
      <c r="BP23" s="361"/>
      <c r="BQ23" s="361"/>
      <c r="BR23" s="361"/>
      <c r="BS23" s="361"/>
      <c r="BT23" s="361"/>
      <c r="BU23" s="361"/>
      <c r="BV23" s="361"/>
      <c r="BW23" s="361"/>
      <c r="BX23" s="361"/>
      <c r="BY23" s="361"/>
      <c r="BZ23" s="361"/>
      <c r="CA23" s="361"/>
      <c r="CB23" s="361"/>
      <c r="CC23" s="361"/>
      <c r="CD23" s="361"/>
      <c r="CE23" s="361"/>
      <c r="CF23" s="361"/>
      <c r="CG23" s="361"/>
      <c r="CH23" s="361"/>
      <c r="CI23" s="361"/>
      <c r="CJ23" s="361"/>
      <c r="CK23" s="361"/>
      <c r="CL23" s="361"/>
      <c r="CM23" s="361"/>
      <c r="CN23" s="361"/>
      <c r="CO23" s="361"/>
      <c r="CP23" s="361"/>
      <c r="CQ23" s="361"/>
      <c r="CR23" s="361"/>
      <c r="CS23" s="361"/>
      <c r="CT23" s="361"/>
      <c r="CU23" s="361"/>
      <c r="CV23" s="361"/>
      <c r="CW23" s="361"/>
      <c r="CX23" s="361"/>
      <c r="CY23" s="361"/>
      <c r="CZ23" s="361"/>
      <c r="DA23" s="361"/>
      <c r="DB23" s="361"/>
      <c r="DC23" s="361"/>
      <c r="DD23" s="361"/>
      <c r="DE23" s="361"/>
      <c r="DF23" s="361"/>
      <c r="DG23" s="361"/>
      <c r="DH23" s="361"/>
      <c r="DI23" s="361"/>
      <c r="DJ23" s="361"/>
      <c r="DK23" s="361"/>
      <c r="DL23" s="361"/>
      <c r="DM23" s="361"/>
      <c r="DN23" s="361"/>
      <c r="DO23" s="361"/>
      <c r="DP23" s="361"/>
      <c r="DQ23" s="361"/>
      <c r="DR23" s="361"/>
      <c r="DS23" s="361"/>
      <c r="DT23" s="361"/>
      <c r="DU23" s="361"/>
      <c r="DV23" s="361"/>
      <c r="DW23" s="361"/>
      <c r="DX23" s="361"/>
      <c r="DY23" s="361"/>
      <c r="DZ23" s="361"/>
      <c r="EA23" s="361"/>
      <c r="EB23" s="361"/>
      <c r="EC23" s="361"/>
      <c r="ED23" s="361"/>
      <c r="EE23" s="361"/>
      <c r="EF23" s="361"/>
      <c r="EG23" s="361"/>
      <c r="EH23" s="361"/>
      <c r="EI23" s="361"/>
      <c r="EJ23" s="361"/>
      <c r="EK23" s="361"/>
      <c r="EL23" s="361"/>
      <c r="EM23" s="361"/>
      <c r="EN23" s="361"/>
      <c r="EO23" s="361"/>
      <c r="EP23" s="361"/>
      <c r="EQ23" s="361"/>
      <c r="ER23" s="361"/>
      <c r="ES23" s="361"/>
      <c r="ET23" s="361"/>
      <c r="EU23" s="361"/>
      <c r="EV23" s="361"/>
      <c r="EW23" s="361"/>
      <c r="EX23" s="361"/>
      <c r="EY23" s="361"/>
      <c r="EZ23" s="361"/>
      <c r="FA23" s="361"/>
      <c r="FB23" s="361"/>
      <c r="FC23" s="361"/>
      <c r="FD23" s="361"/>
      <c r="FE23" s="361"/>
      <c r="FF23" s="361"/>
      <c r="FG23" s="361"/>
      <c r="FH23" s="361"/>
      <c r="FI23" s="361"/>
      <c r="FJ23" s="361"/>
      <c r="FK23" s="361"/>
      <c r="FL23" s="361"/>
      <c r="FM23" s="361"/>
      <c r="FN23" s="361"/>
      <c r="FO23" s="361"/>
      <c r="FP23" s="361"/>
      <c r="FQ23" s="361"/>
      <c r="FR23" s="361"/>
      <c r="FS23" s="361"/>
      <c r="FT23" s="361"/>
      <c r="FU23" s="361"/>
      <c r="FV23" s="361"/>
      <c r="FW23" s="361"/>
      <c r="FX23" s="361"/>
      <c r="FY23" s="361"/>
      <c r="FZ23" s="361"/>
      <c r="GA23" s="361"/>
      <c r="GB23" s="361"/>
      <c r="GC23" s="361"/>
      <c r="GD23" s="361"/>
      <c r="GE23" s="361"/>
      <c r="GF23" s="361"/>
      <c r="GG23" s="361"/>
      <c r="GH23" s="361"/>
      <c r="GI23" s="361"/>
      <c r="GJ23" s="361"/>
      <c r="GK23" s="361"/>
      <c r="GL23" s="361"/>
      <c r="GM23" s="361"/>
      <c r="GN23" s="361"/>
      <c r="GO23" s="361"/>
      <c r="GP23" s="361"/>
      <c r="GQ23" s="361"/>
      <c r="GR23" s="361"/>
      <c r="GS23" s="361"/>
      <c r="GT23" s="361"/>
      <c r="GU23" s="361"/>
      <c r="GV23" s="361"/>
      <c r="GW23" s="361"/>
      <c r="GX23" s="361"/>
      <c r="GY23" s="361"/>
      <c r="GZ23" s="361"/>
      <c r="HA23" s="361"/>
      <c r="HB23" s="361"/>
      <c r="HC23" s="361"/>
      <c r="HD23" s="361"/>
      <c r="HE23" s="361"/>
      <c r="HF23" s="361"/>
      <c r="HG23" s="361"/>
      <c r="HH23" s="361"/>
      <c r="HI23" s="361"/>
      <c r="HJ23" s="361"/>
      <c r="HK23" s="361"/>
      <c r="HL23" s="361"/>
      <c r="HM23" s="361"/>
      <c r="HN23" s="361"/>
      <c r="HO23" s="361"/>
      <c r="HP23" s="361"/>
      <c r="HQ23" s="361"/>
      <c r="HR23" s="361"/>
      <c r="HS23" s="361"/>
      <c r="HT23" s="361"/>
      <c r="HU23" s="361"/>
      <c r="HV23" s="361"/>
      <c r="HW23" s="361"/>
      <c r="HX23" s="361"/>
      <c r="HY23" s="361"/>
      <c r="HZ23" s="361"/>
      <c r="IA23" s="361"/>
      <c r="IB23" s="361"/>
      <c r="IC23" s="361"/>
      <c r="ID23" s="361"/>
      <c r="IE23" s="361"/>
      <c r="IF23" s="361"/>
      <c r="IG23" s="361"/>
      <c r="IH23" s="361"/>
      <c r="II23" s="361"/>
      <c r="IJ23" s="361"/>
      <c r="IK23" s="361"/>
      <c r="IL23" s="361"/>
      <c r="IM23" s="361"/>
      <c r="IN23" s="361"/>
      <c r="IO23" s="361"/>
      <c r="IP23" s="384"/>
      <c r="IQ23" s="384"/>
      <c r="IR23" s="384"/>
      <c r="IS23" s="384"/>
      <c r="IT23" s="384"/>
      <c r="IU23" s="384"/>
      <c r="IV23" s="384"/>
      <c r="IW23" s="384"/>
      <c r="IX23" s="384"/>
      <c r="IY23" s="346" t="s">
        <v>151</v>
      </c>
      <c r="IZ23" s="346"/>
      <c r="JA23" s="346"/>
      <c r="JB23" s="346"/>
      <c r="JC23" s="346"/>
      <c r="JD23" s="346"/>
      <c r="JE23" s="384"/>
    </row>
    <row r="24" spans="1:265" s="179" customFormat="1" ht="19.95" customHeight="1" thickBot="1">
      <c r="A24" s="811"/>
      <c r="B24" s="812"/>
      <c r="C24" s="813" t="s">
        <v>67</v>
      </c>
      <c r="D24" s="814"/>
      <c r="E24" s="815">
        <f>COUNTIFS(Table1351452010[[#All],[Sales]],"คุณรุ่งอรุณ อินบุญรอด",Table1351452010[[#All],[ค่าเชื่อมสัญญาณ/
ค่าติดตั้ง/
ค่าขายอุปกรณ์]],"&gt;1")</f>
        <v>0</v>
      </c>
      <c r="F24" s="816">
        <f>SUMIF(Table1351452010[[#All],[Sales]],"คุณรุ่งอรุณ อินบุญรอด",Table1351452010[[#All],[Total
ค่าเชื่มสัญญาณ/ค่าติดตั้ง/
ค่าขายอุปกรณ์
(2)]])</f>
        <v>0</v>
      </c>
      <c r="G24" s="817">
        <v>0</v>
      </c>
      <c r="H24" s="818">
        <f t="shared" si="2"/>
        <v>0</v>
      </c>
      <c r="I24" s="359"/>
      <c r="J24" s="359"/>
      <c r="K24" s="359"/>
      <c r="L24" s="359"/>
      <c r="M24" s="380"/>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361"/>
      <c r="BJ24" s="361"/>
      <c r="BK24" s="361"/>
      <c r="BL24" s="361"/>
      <c r="BM24" s="361"/>
      <c r="BN24" s="361"/>
      <c r="BO24" s="361"/>
      <c r="BP24" s="361"/>
      <c r="BQ24" s="361"/>
      <c r="BR24" s="361"/>
      <c r="BS24" s="361"/>
      <c r="BT24" s="361"/>
      <c r="BU24" s="361"/>
      <c r="BV24" s="361"/>
      <c r="BW24" s="361"/>
      <c r="BX24" s="361"/>
      <c r="BY24" s="361"/>
      <c r="BZ24" s="361"/>
      <c r="CA24" s="361"/>
      <c r="CB24" s="361"/>
      <c r="CC24" s="361"/>
      <c r="CD24" s="361"/>
      <c r="CE24" s="361"/>
      <c r="CF24" s="361"/>
      <c r="CG24" s="361"/>
      <c r="CH24" s="361"/>
      <c r="CI24" s="361"/>
      <c r="CJ24" s="361"/>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1"/>
      <c r="DI24" s="361"/>
      <c r="DJ24" s="361"/>
      <c r="DK24" s="361"/>
      <c r="DL24" s="361"/>
      <c r="DM24" s="361"/>
      <c r="DN24" s="361"/>
      <c r="DO24" s="361"/>
      <c r="DP24" s="361"/>
      <c r="DQ24" s="361"/>
      <c r="DR24" s="361"/>
      <c r="DS24" s="361"/>
      <c r="DT24" s="361"/>
      <c r="DU24" s="361"/>
      <c r="DV24" s="361"/>
      <c r="DW24" s="361"/>
      <c r="DX24" s="361"/>
      <c r="DY24" s="361"/>
      <c r="DZ24" s="361"/>
      <c r="EA24" s="361"/>
      <c r="EB24" s="361"/>
      <c r="EC24" s="361"/>
      <c r="ED24" s="361"/>
      <c r="EE24" s="361"/>
      <c r="EF24" s="361"/>
      <c r="EG24" s="361"/>
      <c r="EH24" s="361"/>
      <c r="EI24" s="361"/>
      <c r="EJ24" s="361"/>
      <c r="EK24" s="361"/>
      <c r="EL24" s="361"/>
      <c r="EM24" s="361"/>
      <c r="EN24" s="361"/>
      <c r="EO24" s="361"/>
      <c r="EP24" s="361"/>
      <c r="EQ24" s="361"/>
      <c r="ER24" s="361"/>
      <c r="ES24" s="361"/>
      <c r="ET24" s="361"/>
      <c r="EU24" s="361"/>
      <c r="EV24" s="361"/>
      <c r="EW24" s="361"/>
      <c r="EX24" s="361"/>
      <c r="EY24" s="361"/>
      <c r="EZ24" s="361"/>
      <c r="FA24" s="361"/>
      <c r="FB24" s="361"/>
      <c r="FC24" s="361"/>
      <c r="FD24" s="361"/>
      <c r="FE24" s="361"/>
      <c r="FF24" s="361"/>
      <c r="FG24" s="361"/>
      <c r="FH24" s="361"/>
      <c r="FI24" s="361"/>
      <c r="FJ24" s="361"/>
      <c r="FK24" s="361"/>
      <c r="FL24" s="361"/>
      <c r="FM24" s="361"/>
      <c r="FN24" s="361"/>
      <c r="FO24" s="361"/>
      <c r="FP24" s="361"/>
      <c r="FQ24" s="361"/>
      <c r="FR24" s="361"/>
      <c r="FS24" s="361"/>
      <c r="FT24" s="361"/>
      <c r="FU24" s="361"/>
      <c r="FV24" s="361"/>
      <c r="FW24" s="361"/>
      <c r="FX24" s="361"/>
      <c r="FY24" s="361"/>
      <c r="FZ24" s="361"/>
      <c r="GA24" s="361"/>
      <c r="GB24" s="361"/>
      <c r="GC24" s="361"/>
      <c r="GD24" s="361"/>
      <c r="GE24" s="361"/>
      <c r="GF24" s="361"/>
      <c r="GG24" s="361"/>
      <c r="GH24" s="361"/>
      <c r="GI24" s="361"/>
      <c r="GJ24" s="361"/>
      <c r="GK24" s="361"/>
      <c r="GL24" s="361"/>
      <c r="GM24" s="361"/>
      <c r="GN24" s="361"/>
      <c r="GO24" s="361"/>
      <c r="GP24" s="361"/>
      <c r="GQ24" s="361"/>
      <c r="GR24" s="361"/>
      <c r="GS24" s="361"/>
      <c r="GT24" s="361"/>
      <c r="GU24" s="361"/>
      <c r="GV24" s="361"/>
      <c r="GW24" s="361"/>
      <c r="GX24" s="361"/>
      <c r="GY24" s="361"/>
      <c r="GZ24" s="361"/>
      <c r="HA24" s="361"/>
      <c r="HB24" s="361"/>
      <c r="HC24" s="361"/>
      <c r="HD24" s="361"/>
      <c r="HE24" s="361"/>
      <c r="HF24" s="361"/>
      <c r="HG24" s="361"/>
      <c r="HH24" s="361"/>
      <c r="HI24" s="361"/>
      <c r="HJ24" s="361"/>
      <c r="HK24" s="361"/>
      <c r="HL24" s="361"/>
      <c r="HM24" s="361"/>
      <c r="HN24" s="361"/>
      <c r="HO24" s="361"/>
      <c r="HP24" s="361"/>
      <c r="HQ24" s="361"/>
      <c r="HR24" s="361"/>
      <c r="HS24" s="361"/>
      <c r="HT24" s="361"/>
      <c r="HU24" s="361"/>
      <c r="HV24" s="361"/>
      <c r="HW24" s="361"/>
      <c r="HX24" s="361"/>
      <c r="HY24" s="361"/>
      <c r="HZ24" s="361"/>
      <c r="IA24" s="361"/>
      <c r="IB24" s="361"/>
      <c r="IC24" s="361"/>
      <c r="ID24" s="361"/>
      <c r="IE24" s="361"/>
      <c r="IF24" s="361"/>
      <c r="IG24" s="361"/>
      <c r="IH24" s="361"/>
      <c r="II24" s="361"/>
      <c r="IJ24" s="361"/>
      <c r="IK24" s="361"/>
      <c r="IL24" s="361"/>
      <c r="IM24" s="361"/>
      <c r="IN24" s="361"/>
      <c r="IO24" s="361"/>
      <c r="IP24" s="384"/>
      <c r="IQ24" s="384"/>
      <c r="IR24" s="384"/>
      <c r="IS24" s="384"/>
      <c r="IT24" s="384"/>
      <c r="IU24" s="384"/>
      <c r="IV24" s="384"/>
      <c r="IW24" s="384"/>
      <c r="IX24" s="384"/>
      <c r="IY24" s="346" t="s">
        <v>68</v>
      </c>
      <c r="IZ24" s="346"/>
      <c r="JA24" s="346"/>
      <c r="JB24" s="346"/>
      <c r="JC24" s="346"/>
      <c r="JD24" s="346"/>
      <c r="JE24" s="384"/>
    </row>
    <row r="25" spans="1:265" s="175" customFormat="1" ht="19.95" customHeight="1">
      <c r="A25" s="438">
        <v>3</v>
      </c>
      <c r="B25" s="705" t="s">
        <v>144</v>
      </c>
      <c r="C25" s="424" t="s">
        <v>70</v>
      </c>
      <c r="D25" s="710" t="s">
        <v>149</v>
      </c>
      <c r="E25" s="440">
        <f>COUNTIFS(Table1351452010[[#All],[Sales]],"คุณนิมิต จุ้ยอยู่ทอง",Table1351452010[[#All],[Total 
คอมฯค่าเชื่อมสัญญาณ
(3)]],"&gt;1")</f>
        <v>0</v>
      </c>
      <c r="F25" s="441">
        <f>SUMIF(Table1351452010[[#All],[Sales]],"คุณนิมิต จุ้ยอยู่ทอง",Table1351452010[[#All],[Total 
คอมฯค่าเชื่อมสัญญาณ
(3)]])</f>
        <v>0</v>
      </c>
      <c r="G25" s="427">
        <v>0</v>
      </c>
      <c r="H25" s="428">
        <f>F25-G25</f>
        <v>0</v>
      </c>
      <c r="I25" s="677" t="s">
        <v>178</v>
      </c>
      <c r="J25" s="359"/>
      <c r="K25" s="359"/>
      <c r="L25" s="359"/>
      <c r="M25" s="360"/>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1"/>
      <c r="BJ25" s="361"/>
      <c r="BK25" s="361"/>
      <c r="BL25" s="361"/>
      <c r="BM25" s="361"/>
      <c r="BN25" s="361"/>
      <c r="BO25" s="361"/>
      <c r="BP25" s="361"/>
      <c r="BQ25" s="361"/>
      <c r="BR25" s="361"/>
      <c r="BS25" s="361"/>
      <c r="BT25" s="361"/>
      <c r="BU25" s="361"/>
      <c r="BV25" s="361"/>
      <c r="BW25" s="361"/>
      <c r="BX25" s="361"/>
      <c r="BY25" s="361"/>
      <c r="BZ25" s="361"/>
      <c r="CA25" s="361"/>
      <c r="CB25" s="361"/>
      <c r="CC25" s="361"/>
      <c r="CD25" s="361"/>
      <c r="CE25" s="361"/>
      <c r="CF25" s="361"/>
      <c r="CG25" s="361"/>
      <c r="CH25" s="361"/>
      <c r="CI25" s="361"/>
      <c r="CJ25" s="361"/>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1"/>
      <c r="DI25" s="361"/>
      <c r="DJ25" s="361"/>
      <c r="DK25" s="361"/>
      <c r="DL25" s="361"/>
      <c r="DM25" s="361"/>
      <c r="DN25" s="361"/>
      <c r="DO25" s="361"/>
      <c r="DP25" s="361"/>
      <c r="DQ25" s="361"/>
      <c r="DR25" s="361"/>
      <c r="DS25" s="361"/>
      <c r="DT25" s="361"/>
      <c r="DU25" s="361"/>
      <c r="DV25" s="361"/>
      <c r="DW25" s="361"/>
      <c r="DX25" s="361"/>
      <c r="DY25" s="361"/>
      <c r="DZ25" s="361"/>
      <c r="EA25" s="361"/>
      <c r="EB25" s="361"/>
      <c r="EC25" s="361"/>
      <c r="ED25" s="361"/>
      <c r="EE25" s="361"/>
      <c r="EF25" s="361"/>
      <c r="EG25" s="361"/>
      <c r="EH25" s="361"/>
      <c r="EI25" s="361"/>
      <c r="EJ25" s="361"/>
      <c r="EK25" s="361"/>
      <c r="EL25" s="361"/>
      <c r="EM25" s="361"/>
      <c r="EN25" s="361"/>
      <c r="EO25" s="361"/>
      <c r="EP25" s="361"/>
      <c r="EQ25" s="361"/>
      <c r="ER25" s="361"/>
      <c r="ES25" s="361"/>
      <c r="ET25" s="361"/>
      <c r="EU25" s="361"/>
      <c r="EV25" s="361"/>
      <c r="EW25" s="361"/>
      <c r="EX25" s="361"/>
      <c r="EY25" s="361"/>
      <c r="EZ25" s="361"/>
      <c r="FA25" s="361"/>
      <c r="FB25" s="361"/>
      <c r="FC25" s="361"/>
      <c r="FD25" s="361"/>
      <c r="FE25" s="361"/>
      <c r="FF25" s="361"/>
      <c r="FG25" s="361"/>
      <c r="FH25" s="361"/>
      <c r="FI25" s="361"/>
      <c r="FJ25" s="361"/>
      <c r="FK25" s="361"/>
      <c r="FL25" s="361"/>
      <c r="FM25" s="361"/>
      <c r="FN25" s="361"/>
      <c r="FO25" s="361"/>
      <c r="FP25" s="361"/>
      <c r="FQ25" s="361"/>
      <c r="FR25" s="361"/>
      <c r="FS25" s="361"/>
      <c r="FT25" s="361"/>
      <c r="FU25" s="361"/>
      <c r="FV25" s="361"/>
      <c r="FW25" s="361"/>
      <c r="FX25" s="361"/>
      <c r="FY25" s="361"/>
      <c r="FZ25" s="361"/>
      <c r="GA25" s="361"/>
      <c r="GB25" s="361"/>
      <c r="GC25" s="361"/>
      <c r="GD25" s="361"/>
      <c r="GE25" s="361"/>
      <c r="GF25" s="361"/>
      <c r="GG25" s="361"/>
      <c r="GH25" s="361"/>
      <c r="GI25" s="361"/>
      <c r="GJ25" s="361"/>
      <c r="GK25" s="361"/>
      <c r="GL25" s="361"/>
      <c r="GM25" s="361"/>
      <c r="GN25" s="361"/>
      <c r="GO25" s="361"/>
      <c r="GP25" s="361"/>
      <c r="GQ25" s="361"/>
      <c r="GR25" s="361"/>
      <c r="GS25" s="361"/>
      <c r="GT25" s="361"/>
      <c r="GU25" s="361"/>
      <c r="GV25" s="361"/>
      <c r="GW25" s="361"/>
      <c r="GX25" s="361"/>
      <c r="GY25" s="361"/>
      <c r="GZ25" s="361"/>
      <c r="HA25" s="361"/>
      <c r="HB25" s="361"/>
      <c r="HC25" s="361"/>
      <c r="HD25" s="361"/>
      <c r="HE25" s="361"/>
      <c r="HF25" s="361"/>
      <c r="HG25" s="361"/>
      <c r="HH25" s="361"/>
      <c r="HI25" s="361"/>
      <c r="HJ25" s="361"/>
      <c r="HK25" s="361"/>
      <c r="HL25" s="361"/>
      <c r="HM25" s="361"/>
      <c r="HN25" s="361"/>
      <c r="HO25" s="361"/>
      <c r="HP25" s="361"/>
      <c r="HQ25" s="361"/>
      <c r="HR25" s="361"/>
      <c r="HS25" s="361"/>
      <c r="HT25" s="361"/>
      <c r="HU25" s="361"/>
      <c r="HV25" s="361"/>
      <c r="HW25" s="361"/>
      <c r="HX25" s="361"/>
      <c r="HY25" s="361"/>
      <c r="HZ25" s="361"/>
      <c r="IA25" s="361"/>
      <c r="IB25" s="361"/>
      <c r="IC25" s="361"/>
      <c r="ID25" s="361"/>
      <c r="IE25" s="361"/>
      <c r="IF25" s="361"/>
      <c r="IG25" s="361"/>
      <c r="IH25" s="361"/>
      <c r="II25" s="361"/>
      <c r="IJ25" s="361"/>
      <c r="IK25" s="361"/>
      <c r="IL25" s="361"/>
      <c r="IM25" s="361"/>
      <c r="IN25" s="361"/>
      <c r="IO25" s="361"/>
      <c r="IP25" s="361"/>
      <c r="IQ25" s="361"/>
      <c r="IR25" s="361"/>
      <c r="IS25" s="361"/>
      <c r="IT25" s="361"/>
      <c r="IU25" s="361"/>
      <c r="IV25" s="361"/>
      <c r="IW25" s="361"/>
      <c r="IX25" s="361"/>
      <c r="IY25" s="346" t="s">
        <v>21</v>
      </c>
      <c r="IZ25" s="346"/>
      <c r="JA25" s="346"/>
      <c r="JB25" s="346"/>
      <c r="JC25" s="346"/>
      <c r="JD25" s="346"/>
      <c r="JE25" s="361"/>
    </row>
    <row r="26" spans="1:265" s="175" customFormat="1" ht="19.95" customHeight="1">
      <c r="A26" s="442"/>
      <c r="B26" s="706" t="s">
        <v>145</v>
      </c>
      <c r="C26" s="328" t="s">
        <v>71</v>
      </c>
      <c r="D26" s="711" t="s">
        <v>150</v>
      </c>
      <c r="E26" s="443">
        <f>COUNTIFS(Table1351452010[[#All],[Sales]],"คุณธวัช มีแสง",Table1351452010[[#All],[Total 
คอมฯค่าเชื่อมสัญญาณ
(3)]],"&gt;1")</f>
        <v>0</v>
      </c>
      <c r="F26" s="444">
        <f>SUMIF(Table1351452010[[#All],[Sales]],"คุณธวัช มีแสง",Table1351452010[[#All],[Total 
คอมฯค่าเชื่อมสัญญาณ
(3)]])</f>
        <v>0</v>
      </c>
      <c r="G26" s="431">
        <v>0</v>
      </c>
      <c r="H26" s="433">
        <f>F26-G26</f>
        <v>0</v>
      </c>
      <c r="I26" s="359"/>
      <c r="J26" s="359"/>
      <c r="K26" s="359"/>
      <c r="L26" s="359"/>
      <c r="M26" s="360"/>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c r="BB26" s="361"/>
      <c r="BC26" s="361"/>
      <c r="BD26" s="361"/>
      <c r="BE26" s="361"/>
      <c r="BF26" s="361"/>
      <c r="BG26" s="361"/>
      <c r="BH26" s="361"/>
      <c r="BI26" s="361"/>
      <c r="BJ26" s="361"/>
      <c r="BK26" s="361"/>
      <c r="BL26" s="361"/>
      <c r="BM26" s="361"/>
      <c r="BN26" s="361"/>
      <c r="BO26" s="361"/>
      <c r="BP26" s="361"/>
      <c r="BQ26" s="361"/>
      <c r="BR26" s="361"/>
      <c r="BS26" s="361"/>
      <c r="BT26" s="361"/>
      <c r="BU26" s="361"/>
      <c r="BV26" s="361"/>
      <c r="BW26" s="361"/>
      <c r="BX26" s="361"/>
      <c r="BY26" s="361"/>
      <c r="BZ26" s="361"/>
      <c r="CA26" s="361"/>
      <c r="CB26" s="361"/>
      <c r="CC26" s="361"/>
      <c r="CD26" s="361"/>
      <c r="CE26" s="361"/>
      <c r="CF26" s="361"/>
      <c r="CG26" s="361"/>
      <c r="CH26" s="361"/>
      <c r="CI26" s="361"/>
      <c r="CJ26" s="361"/>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1"/>
      <c r="DI26" s="361"/>
      <c r="DJ26" s="361"/>
      <c r="DK26" s="361"/>
      <c r="DL26" s="361"/>
      <c r="DM26" s="361"/>
      <c r="DN26" s="361"/>
      <c r="DO26" s="361"/>
      <c r="DP26" s="361"/>
      <c r="DQ26" s="361"/>
      <c r="DR26" s="361"/>
      <c r="DS26" s="361"/>
      <c r="DT26" s="361"/>
      <c r="DU26" s="361"/>
      <c r="DV26" s="361"/>
      <c r="DW26" s="361"/>
      <c r="DX26" s="361"/>
      <c r="DY26" s="361"/>
      <c r="DZ26" s="361"/>
      <c r="EA26" s="361"/>
      <c r="EB26" s="361"/>
      <c r="EC26" s="361"/>
      <c r="ED26" s="361"/>
      <c r="EE26" s="361"/>
      <c r="EF26" s="361"/>
      <c r="EG26" s="361"/>
      <c r="EH26" s="361"/>
      <c r="EI26" s="361"/>
      <c r="EJ26" s="361"/>
      <c r="EK26" s="361"/>
      <c r="EL26" s="361"/>
      <c r="EM26" s="361"/>
      <c r="EN26" s="361"/>
      <c r="EO26" s="361"/>
      <c r="EP26" s="361"/>
      <c r="EQ26" s="361"/>
      <c r="ER26" s="361"/>
      <c r="ES26" s="361"/>
      <c r="ET26" s="361"/>
      <c r="EU26" s="361"/>
      <c r="EV26" s="361"/>
      <c r="EW26" s="361"/>
      <c r="EX26" s="361"/>
      <c r="EY26" s="361"/>
      <c r="EZ26" s="361"/>
      <c r="FA26" s="361"/>
      <c r="FB26" s="361"/>
      <c r="FC26" s="361"/>
      <c r="FD26" s="361"/>
      <c r="FE26" s="361"/>
      <c r="FF26" s="361"/>
      <c r="FG26" s="361"/>
      <c r="FH26" s="361"/>
      <c r="FI26" s="361"/>
      <c r="FJ26" s="361"/>
      <c r="FK26" s="361"/>
      <c r="FL26" s="361"/>
      <c r="FM26" s="361"/>
      <c r="FN26" s="361"/>
      <c r="FO26" s="361"/>
      <c r="FP26" s="361"/>
      <c r="FQ26" s="361"/>
      <c r="FR26" s="361"/>
      <c r="FS26" s="361"/>
      <c r="FT26" s="361"/>
      <c r="FU26" s="361"/>
      <c r="FV26" s="361"/>
      <c r="FW26" s="361"/>
      <c r="FX26" s="361"/>
      <c r="FY26" s="361"/>
      <c r="FZ26" s="361"/>
      <c r="GA26" s="361"/>
      <c r="GB26" s="361"/>
      <c r="GC26" s="361"/>
      <c r="GD26" s="361"/>
      <c r="GE26" s="361"/>
      <c r="GF26" s="361"/>
      <c r="GG26" s="361"/>
      <c r="GH26" s="361"/>
      <c r="GI26" s="361"/>
      <c r="GJ26" s="361"/>
      <c r="GK26" s="361"/>
      <c r="GL26" s="361"/>
      <c r="GM26" s="361"/>
      <c r="GN26" s="361"/>
      <c r="GO26" s="361"/>
      <c r="GP26" s="361"/>
      <c r="GQ26" s="361"/>
      <c r="GR26" s="361"/>
      <c r="GS26" s="361"/>
      <c r="GT26" s="361"/>
      <c r="GU26" s="361"/>
      <c r="GV26" s="361"/>
      <c r="GW26" s="361"/>
      <c r="GX26" s="361"/>
      <c r="GY26" s="361"/>
      <c r="GZ26" s="361"/>
      <c r="HA26" s="361"/>
      <c r="HB26" s="361"/>
      <c r="HC26" s="361"/>
      <c r="HD26" s="361"/>
      <c r="HE26" s="361"/>
      <c r="HF26" s="361"/>
      <c r="HG26" s="361"/>
      <c r="HH26" s="361"/>
      <c r="HI26" s="361"/>
      <c r="HJ26" s="361"/>
      <c r="HK26" s="361"/>
      <c r="HL26" s="361"/>
      <c r="HM26" s="361"/>
      <c r="HN26" s="361"/>
      <c r="HO26" s="361"/>
      <c r="HP26" s="361"/>
      <c r="HQ26" s="361"/>
      <c r="HR26" s="361"/>
      <c r="HS26" s="361"/>
      <c r="HT26" s="361"/>
      <c r="HU26" s="361"/>
      <c r="HV26" s="361"/>
      <c r="HW26" s="361"/>
      <c r="HX26" s="361"/>
      <c r="HY26" s="361"/>
      <c r="HZ26" s="361"/>
      <c r="IA26" s="361"/>
      <c r="IB26" s="361"/>
      <c r="IC26" s="361"/>
      <c r="ID26" s="361"/>
      <c r="IE26" s="361"/>
      <c r="IF26" s="361"/>
      <c r="IG26" s="361"/>
      <c r="IH26" s="361"/>
      <c r="II26" s="361"/>
      <c r="IJ26" s="361"/>
      <c r="IK26" s="361"/>
      <c r="IL26" s="361"/>
      <c r="IM26" s="361"/>
      <c r="IN26" s="361"/>
      <c r="IO26" s="361"/>
      <c r="IP26" s="361"/>
      <c r="IQ26" s="361"/>
      <c r="IR26" s="361"/>
      <c r="IS26" s="361"/>
      <c r="IT26" s="361"/>
      <c r="IU26" s="361"/>
      <c r="IV26" s="361"/>
      <c r="IW26" s="361"/>
      <c r="IX26" s="361"/>
      <c r="IY26" s="381" t="s">
        <v>181</v>
      </c>
      <c r="IZ26" s="381"/>
      <c r="JA26" s="381"/>
      <c r="JB26" s="381"/>
      <c r="JC26" s="381"/>
      <c r="JD26" s="381"/>
      <c r="JE26" s="361"/>
    </row>
    <row r="27" spans="1:265" s="175" customFormat="1" ht="19.95" customHeight="1">
      <c r="A27" s="442"/>
      <c r="B27" s="707"/>
      <c r="C27" s="328" t="s">
        <v>73</v>
      </c>
      <c r="D27" s="336"/>
      <c r="E27" s="443">
        <f>COUNTIFS(Table1351452010[[#All],[Sales]],"คุณนิยนต์ อยู่ทะเล",Table1351452010[[#All],[Total 
คอมฯค่าเชื่อมสัญญาณ
(3)]],"&gt;1")</f>
        <v>0</v>
      </c>
      <c r="F27" s="444">
        <f>SUMIF(Table1351452010[[#All],[Sales]],"คุณแดง มูลสองแคว",Table1351452010[[#All],[Total 
คอมฯค่าเชื่อมสัญญาณ
(3)]])</f>
        <v>0</v>
      </c>
      <c r="G27" s="431">
        <v>0</v>
      </c>
      <c r="H27" s="433">
        <f>F27-G27</f>
        <v>0</v>
      </c>
      <c r="I27" s="359"/>
      <c r="J27" s="359"/>
      <c r="K27" s="359"/>
      <c r="L27" s="359"/>
      <c r="M27" s="360"/>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c r="DN27" s="361"/>
      <c r="DO27" s="361"/>
      <c r="DP27" s="361"/>
      <c r="DQ27" s="361"/>
      <c r="DR27" s="361"/>
      <c r="DS27" s="361"/>
      <c r="DT27" s="361"/>
      <c r="DU27" s="361"/>
      <c r="DV27" s="361"/>
      <c r="DW27" s="361"/>
      <c r="DX27" s="361"/>
      <c r="DY27" s="361"/>
      <c r="DZ27" s="361"/>
      <c r="EA27" s="361"/>
      <c r="EB27" s="361"/>
      <c r="EC27" s="361"/>
      <c r="ED27" s="361"/>
      <c r="EE27" s="361"/>
      <c r="EF27" s="361"/>
      <c r="EG27" s="361"/>
      <c r="EH27" s="361"/>
      <c r="EI27" s="361"/>
      <c r="EJ27" s="361"/>
      <c r="EK27" s="361"/>
      <c r="EL27" s="361"/>
      <c r="EM27" s="361"/>
      <c r="EN27" s="361"/>
      <c r="EO27" s="361"/>
      <c r="EP27" s="361"/>
      <c r="EQ27" s="361"/>
      <c r="ER27" s="361"/>
      <c r="ES27" s="361"/>
      <c r="ET27" s="361"/>
      <c r="EU27" s="361"/>
      <c r="EV27" s="361"/>
      <c r="EW27" s="361"/>
      <c r="EX27" s="361"/>
      <c r="EY27" s="361"/>
      <c r="EZ27" s="361"/>
      <c r="FA27" s="361"/>
      <c r="FB27" s="361"/>
      <c r="FC27" s="361"/>
      <c r="FD27" s="361"/>
      <c r="FE27" s="361"/>
      <c r="FF27" s="361"/>
      <c r="FG27" s="361"/>
      <c r="FH27" s="361"/>
      <c r="FI27" s="361"/>
      <c r="FJ27" s="361"/>
      <c r="FK27" s="361"/>
      <c r="FL27" s="361"/>
      <c r="FM27" s="361"/>
      <c r="FN27" s="361"/>
      <c r="FO27" s="361"/>
      <c r="FP27" s="361"/>
      <c r="FQ27" s="361"/>
      <c r="FR27" s="361"/>
      <c r="FS27" s="361"/>
      <c r="FT27" s="361"/>
      <c r="FU27" s="361"/>
      <c r="FV27" s="361"/>
      <c r="FW27" s="361"/>
      <c r="FX27" s="361"/>
      <c r="FY27" s="361"/>
      <c r="FZ27" s="361"/>
      <c r="GA27" s="361"/>
      <c r="GB27" s="361"/>
      <c r="GC27" s="361"/>
      <c r="GD27" s="361"/>
      <c r="GE27" s="361"/>
      <c r="GF27" s="361"/>
      <c r="GG27" s="361"/>
      <c r="GH27" s="361"/>
      <c r="GI27" s="361"/>
      <c r="GJ27" s="361"/>
      <c r="GK27" s="361"/>
      <c r="GL27" s="361"/>
      <c r="GM27" s="361"/>
      <c r="GN27" s="361"/>
      <c r="GO27" s="361"/>
      <c r="GP27" s="361"/>
      <c r="GQ27" s="361"/>
      <c r="GR27" s="361"/>
      <c r="GS27" s="361"/>
      <c r="GT27" s="361"/>
      <c r="GU27" s="361"/>
      <c r="GV27" s="361"/>
      <c r="GW27" s="361"/>
      <c r="GX27" s="361"/>
      <c r="GY27" s="361"/>
      <c r="GZ27" s="361"/>
      <c r="HA27" s="361"/>
      <c r="HB27" s="361"/>
      <c r="HC27" s="361"/>
      <c r="HD27" s="361"/>
      <c r="HE27" s="361"/>
      <c r="HF27" s="361"/>
      <c r="HG27" s="361"/>
      <c r="HH27" s="361"/>
      <c r="HI27" s="361"/>
      <c r="HJ27" s="361"/>
      <c r="HK27" s="361"/>
      <c r="HL27" s="361"/>
      <c r="HM27" s="361"/>
      <c r="HN27" s="361"/>
      <c r="HO27" s="361"/>
      <c r="HP27" s="361"/>
      <c r="HQ27" s="361"/>
      <c r="HR27" s="361"/>
      <c r="HS27" s="361"/>
      <c r="HT27" s="361"/>
      <c r="HU27" s="361"/>
      <c r="HV27" s="361"/>
      <c r="HW27" s="361"/>
      <c r="HX27" s="361"/>
      <c r="HY27" s="361"/>
      <c r="HZ27" s="361"/>
      <c r="IA27" s="361"/>
      <c r="IB27" s="361"/>
      <c r="IC27" s="361"/>
      <c r="ID27" s="361"/>
      <c r="IE27" s="361"/>
      <c r="IF27" s="361"/>
      <c r="IG27" s="361"/>
      <c r="IH27" s="361"/>
      <c r="II27" s="361"/>
      <c r="IJ27" s="361"/>
      <c r="IK27" s="361"/>
      <c r="IL27" s="361"/>
      <c r="IM27" s="361"/>
      <c r="IN27" s="361"/>
      <c r="IO27" s="361"/>
      <c r="IP27" s="361"/>
      <c r="IQ27" s="361"/>
      <c r="IR27" s="361"/>
      <c r="IS27" s="361"/>
      <c r="IT27" s="361"/>
      <c r="IU27" s="361"/>
      <c r="IV27" s="361"/>
      <c r="IW27" s="361"/>
      <c r="IX27" s="361"/>
      <c r="IY27" s="346" t="s">
        <v>70</v>
      </c>
      <c r="IZ27" s="346"/>
      <c r="JA27" s="346"/>
      <c r="JB27" s="346"/>
      <c r="JC27" s="346"/>
      <c r="JD27" s="346"/>
      <c r="JE27" s="361"/>
    </row>
    <row r="28" spans="1:265" s="175" customFormat="1" ht="19.95" customHeight="1">
      <c r="A28" s="442"/>
      <c r="B28" s="707"/>
      <c r="C28" s="328" t="s">
        <v>74</v>
      </c>
      <c r="D28" s="336"/>
      <c r="E28" s="443">
        <f>COUNTIFS(Table1351452010[[#All],[Sales]],"คุณจินตนา อ้อยหวาน",Table1351452010[[#All],[Total 
คอมฯค่าเชื่อมสัญญาณ
(3)]],"&gt;1")</f>
        <v>0</v>
      </c>
      <c r="F28" s="444">
        <f>SUMIF(Table1351452010[[#All],[Sales]],"คุณจินตนา อ้อยหวาน",Table1351452010[[#All],[Total 
คอมฯค่าเชื่อมสัญญาณ
(3)]])</f>
        <v>0</v>
      </c>
      <c r="G28" s="431">
        <v>0</v>
      </c>
      <c r="H28" s="433">
        <f t="shared" ref="H28:H34" si="3">F28-G28</f>
        <v>0</v>
      </c>
      <c r="I28" s="359"/>
      <c r="J28" s="359"/>
      <c r="K28" s="359"/>
      <c r="L28" s="359"/>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361"/>
      <c r="BI28" s="361"/>
      <c r="BJ28" s="361"/>
      <c r="BK28" s="361"/>
      <c r="BL28" s="361"/>
      <c r="BM28" s="361"/>
      <c r="BN28" s="361"/>
      <c r="BO28" s="361"/>
      <c r="BP28" s="361"/>
      <c r="BQ28" s="361"/>
      <c r="BR28" s="361"/>
      <c r="BS28" s="361"/>
      <c r="BT28" s="361"/>
      <c r="BU28" s="361"/>
      <c r="BV28" s="361"/>
      <c r="BW28" s="361"/>
      <c r="BX28" s="361"/>
      <c r="BY28" s="361"/>
      <c r="BZ28" s="361"/>
      <c r="CA28" s="361"/>
      <c r="CB28" s="361"/>
      <c r="CC28" s="361"/>
      <c r="CD28" s="361"/>
      <c r="CE28" s="361"/>
      <c r="CF28" s="361"/>
      <c r="CG28" s="361"/>
      <c r="CH28" s="361"/>
      <c r="CI28" s="361"/>
      <c r="CJ28" s="361"/>
      <c r="CK28" s="361"/>
      <c r="CL28" s="361"/>
      <c r="CM28" s="361"/>
      <c r="CN28" s="361"/>
      <c r="CO28" s="361"/>
      <c r="CP28" s="361"/>
      <c r="CQ28" s="361"/>
      <c r="CR28" s="361"/>
      <c r="CS28" s="361"/>
      <c r="CT28" s="361"/>
      <c r="CU28" s="361"/>
      <c r="CV28" s="361"/>
      <c r="CW28" s="361"/>
      <c r="CX28" s="361"/>
      <c r="CY28" s="361"/>
      <c r="CZ28" s="361"/>
      <c r="DA28" s="361"/>
      <c r="DB28" s="361"/>
      <c r="DC28" s="361"/>
      <c r="DD28" s="361"/>
      <c r="DE28" s="361"/>
      <c r="DF28" s="361"/>
      <c r="DG28" s="361"/>
      <c r="DH28" s="361"/>
      <c r="DI28" s="361"/>
      <c r="DJ28" s="361"/>
      <c r="DK28" s="361"/>
      <c r="DL28" s="361"/>
      <c r="DM28" s="361"/>
      <c r="DN28" s="361"/>
      <c r="DO28" s="361"/>
      <c r="DP28" s="361"/>
      <c r="DQ28" s="361"/>
      <c r="DR28" s="361"/>
      <c r="DS28" s="361"/>
      <c r="DT28" s="361"/>
      <c r="DU28" s="361"/>
      <c r="DV28" s="361"/>
      <c r="DW28" s="361"/>
      <c r="DX28" s="361"/>
      <c r="DY28" s="361"/>
      <c r="DZ28" s="361"/>
      <c r="EA28" s="361"/>
      <c r="EB28" s="361"/>
      <c r="EC28" s="361"/>
      <c r="ED28" s="361"/>
      <c r="EE28" s="361"/>
      <c r="EF28" s="361"/>
      <c r="EG28" s="361"/>
      <c r="EH28" s="361"/>
      <c r="EI28" s="361"/>
      <c r="EJ28" s="361"/>
      <c r="EK28" s="361"/>
      <c r="EL28" s="361"/>
      <c r="EM28" s="361"/>
      <c r="EN28" s="361"/>
      <c r="EO28" s="361"/>
      <c r="EP28" s="361"/>
      <c r="EQ28" s="361"/>
      <c r="ER28" s="361"/>
      <c r="ES28" s="361"/>
      <c r="ET28" s="361"/>
      <c r="EU28" s="361"/>
      <c r="EV28" s="361"/>
      <c r="EW28" s="361"/>
      <c r="EX28" s="361"/>
      <c r="EY28" s="361"/>
      <c r="EZ28" s="361"/>
      <c r="FA28" s="361"/>
      <c r="FB28" s="361"/>
      <c r="FC28" s="361"/>
      <c r="FD28" s="361"/>
      <c r="FE28" s="361"/>
      <c r="FF28" s="361"/>
      <c r="FG28" s="361"/>
      <c r="FH28" s="361"/>
      <c r="FI28" s="361"/>
      <c r="FJ28" s="361"/>
      <c r="FK28" s="361"/>
      <c r="FL28" s="361"/>
      <c r="FM28" s="361"/>
      <c r="FN28" s="361"/>
      <c r="FO28" s="361"/>
      <c r="FP28" s="361"/>
      <c r="FQ28" s="361"/>
      <c r="FR28" s="361"/>
      <c r="FS28" s="361"/>
      <c r="FT28" s="361"/>
      <c r="FU28" s="361"/>
      <c r="FV28" s="361"/>
      <c r="FW28" s="361"/>
      <c r="FX28" s="361"/>
      <c r="FY28" s="361"/>
      <c r="FZ28" s="361"/>
      <c r="GA28" s="361"/>
      <c r="GB28" s="361"/>
      <c r="GC28" s="361"/>
      <c r="GD28" s="361"/>
      <c r="GE28" s="361"/>
      <c r="GF28" s="361"/>
      <c r="GG28" s="361"/>
      <c r="GH28" s="361"/>
      <c r="GI28" s="361"/>
      <c r="GJ28" s="361"/>
      <c r="GK28" s="361"/>
      <c r="GL28" s="361"/>
      <c r="GM28" s="361"/>
      <c r="GN28" s="361"/>
      <c r="GO28" s="361"/>
      <c r="GP28" s="361"/>
      <c r="GQ28" s="361"/>
      <c r="GR28" s="361"/>
      <c r="GS28" s="361"/>
      <c r="GT28" s="361"/>
      <c r="GU28" s="361"/>
      <c r="GV28" s="361"/>
      <c r="GW28" s="361"/>
      <c r="GX28" s="361"/>
      <c r="GY28" s="361"/>
      <c r="GZ28" s="361"/>
      <c r="HA28" s="361"/>
      <c r="HB28" s="361"/>
      <c r="HC28" s="361"/>
      <c r="HD28" s="361"/>
      <c r="HE28" s="361"/>
      <c r="HF28" s="361"/>
      <c r="HG28" s="361"/>
      <c r="HH28" s="361"/>
      <c r="HI28" s="361"/>
      <c r="HJ28" s="361"/>
      <c r="HK28" s="361"/>
      <c r="HL28" s="361"/>
      <c r="HM28" s="361"/>
      <c r="HN28" s="361"/>
      <c r="HO28" s="361"/>
      <c r="HP28" s="361"/>
      <c r="HQ28" s="361"/>
      <c r="HR28" s="361"/>
      <c r="HS28" s="361"/>
      <c r="HT28" s="361"/>
      <c r="HU28" s="361"/>
      <c r="HV28" s="361"/>
      <c r="HW28" s="361"/>
      <c r="HX28" s="361"/>
      <c r="HY28" s="361"/>
      <c r="HZ28" s="361"/>
      <c r="IA28" s="361"/>
      <c r="IB28" s="361"/>
      <c r="IC28" s="361"/>
      <c r="ID28" s="361"/>
      <c r="IE28" s="361"/>
      <c r="IF28" s="361"/>
      <c r="IG28" s="361"/>
      <c r="IH28" s="361"/>
      <c r="II28" s="361"/>
      <c r="IJ28" s="361"/>
      <c r="IK28" s="361"/>
      <c r="IL28" s="361"/>
      <c r="IM28" s="361"/>
      <c r="IN28" s="361"/>
      <c r="IO28" s="361"/>
      <c r="IP28" s="361"/>
      <c r="IQ28" s="361"/>
      <c r="IR28" s="361"/>
      <c r="IS28" s="361"/>
      <c r="IT28" s="361"/>
      <c r="IU28" s="361"/>
      <c r="IV28" s="361"/>
      <c r="IW28" s="361"/>
      <c r="IX28" s="361"/>
      <c r="IY28" s="346" t="s">
        <v>71</v>
      </c>
      <c r="IZ28" s="346"/>
      <c r="JA28" s="346"/>
      <c r="JB28" s="346"/>
      <c r="JC28" s="346"/>
      <c r="JD28" s="346"/>
      <c r="JE28" s="361"/>
    </row>
    <row r="29" spans="1:265" s="175" customFormat="1" ht="19.95" customHeight="1">
      <c r="A29" s="442"/>
      <c r="B29" s="707"/>
      <c r="C29" s="328" t="s">
        <v>75</v>
      </c>
      <c r="D29" s="336"/>
      <c r="E29" s="443">
        <f>COUNTIFS(Table1351452010[[#All],[Sales]],"คุณพัชรพรรณ พึ่งพา",Table1351452010[[#All],[Total 
คอมฯค่าเชื่อมสัญญาณ
(3)]],"&gt;1")</f>
        <v>0</v>
      </c>
      <c r="F29" s="444">
        <f>SUMIF(Table1351452010[[#All],[Sales]],"คุณพัชรพรรณ พึ่งพา",Table1351452010[[#All],[Total 
คอมฯค่าเชื่อมสัญญาณ
(3)]])</f>
        <v>0</v>
      </c>
      <c r="G29" s="431">
        <v>0</v>
      </c>
      <c r="H29" s="433">
        <f t="shared" si="3"/>
        <v>0</v>
      </c>
      <c r="I29" s="359"/>
      <c r="J29" s="359"/>
      <c r="K29" s="359"/>
      <c r="L29" s="359"/>
      <c r="M29" s="360"/>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1"/>
      <c r="BC29" s="361"/>
      <c r="BD29" s="361"/>
      <c r="BE29" s="361"/>
      <c r="BF29" s="361"/>
      <c r="BG29" s="361"/>
      <c r="BH29" s="361"/>
      <c r="BI29" s="361"/>
      <c r="BJ29" s="361"/>
      <c r="BK29" s="361"/>
      <c r="BL29" s="361"/>
      <c r="BM29" s="361"/>
      <c r="BN29" s="361"/>
      <c r="BO29" s="361"/>
      <c r="BP29" s="361"/>
      <c r="BQ29" s="361"/>
      <c r="BR29" s="361"/>
      <c r="BS29" s="361"/>
      <c r="BT29" s="361"/>
      <c r="BU29" s="361"/>
      <c r="BV29" s="361"/>
      <c r="BW29" s="361"/>
      <c r="BX29" s="361"/>
      <c r="BY29" s="361"/>
      <c r="BZ29" s="361"/>
      <c r="CA29" s="361"/>
      <c r="CB29" s="361"/>
      <c r="CC29" s="361"/>
      <c r="CD29" s="361"/>
      <c r="CE29" s="361"/>
      <c r="CF29" s="361"/>
      <c r="CG29" s="361"/>
      <c r="CH29" s="361"/>
      <c r="CI29" s="361"/>
      <c r="CJ29" s="361"/>
      <c r="CK29" s="361"/>
      <c r="CL29" s="361"/>
      <c r="CM29" s="361"/>
      <c r="CN29" s="361"/>
      <c r="CO29" s="361"/>
      <c r="CP29" s="361"/>
      <c r="CQ29" s="361"/>
      <c r="CR29" s="361"/>
      <c r="CS29" s="361"/>
      <c r="CT29" s="361"/>
      <c r="CU29" s="361"/>
      <c r="CV29" s="361"/>
      <c r="CW29" s="361"/>
      <c r="CX29" s="361"/>
      <c r="CY29" s="361"/>
      <c r="CZ29" s="361"/>
      <c r="DA29" s="361"/>
      <c r="DB29" s="361"/>
      <c r="DC29" s="361"/>
      <c r="DD29" s="361"/>
      <c r="DE29" s="361"/>
      <c r="DF29" s="361"/>
      <c r="DG29" s="361"/>
      <c r="DH29" s="361"/>
      <c r="DI29" s="361"/>
      <c r="DJ29" s="361"/>
      <c r="DK29" s="361"/>
      <c r="DL29" s="361"/>
      <c r="DM29" s="361"/>
      <c r="DN29" s="361"/>
      <c r="DO29" s="361"/>
      <c r="DP29" s="361"/>
      <c r="DQ29" s="361"/>
      <c r="DR29" s="361"/>
      <c r="DS29" s="361"/>
      <c r="DT29" s="361"/>
      <c r="DU29" s="361"/>
      <c r="DV29" s="361"/>
      <c r="DW29" s="361"/>
      <c r="DX29" s="361"/>
      <c r="DY29" s="361"/>
      <c r="DZ29" s="361"/>
      <c r="EA29" s="361"/>
      <c r="EB29" s="361"/>
      <c r="EC29" s="361"/>
      <c r="ED29" s="361"/>
      <c r="EE29" s="361"/>
      <c r="EF29" s="361"/>
      <c r="EG29" s="361"/>
      <c r="EH29" s="361"/>
      <c r="EI29" s="361"/>
      <c r="EJ29" s="361"/>
      <c r="EK29" s="361"/>
      <c r="EL29" s="361"/>
      <c r="EM29" s="361"/>
      <c r="EN29" s="361"/>
      <c r="EO29" s="361"/>
      <c r="EP29" s="361"/>
      <c r="EQ29" s="361"/>
      <c r="ER29" s="361"/>
      <c r="ES29" s="361"/>
      <c r="ET29" s="361"/>
      <c r="EU29" s="361"/>
      <c r="EV29" s="361"/>
      <c r="EW29" s="361"/>
      <c r="EX29" s="361"/>
      <c r="EY29" s="361"/>
      <c r="EZ29" s="361"/>
      <c r="FA29" s="361"/>
      <c r="FB29" s="361"/>
      <c r="FC29" s="361"/>
      <c r="FD29" s="361"/>
      <c r="FE29" s="361"/>
      <c r="FF29" s="361"/>
      <c r="FG29" s="361"/>
      <c r="FH29" s="361"/>
      <c r="FI29" s="361"/>
      <c r="FJ29" s="361"/>
      <c r="FK29" s="361"/>
      <c r="FL29" s="361"/>
      <c r="FM29" s="361"/>
      <c r="FN29" s="361"/>
      <c r="FO29" s="361"/>
      <c r="FP29" s="361"/>
      <c r="FQ29" s="361"/>
      <c r="FR29" s="361"/>
      <c r="FS29" s="361"/>
      <c r="FT29" s="361"/>
      <c r="FU29" s="361"/>
      <c r="FV29" s="361"/>
      <c r="FW29" s="361"/>
      <c r="FX29" s="361"/>
      <c r="FY29" s="361"/>
      <c r="FZ29" s="361"/>
      <c r="GA29" s="361"/>
      <c r="GB29" s="361"/>
      <c r="GC29" s="361"/>
      <c r="GD29" s="361"/>
      <c r="GE29" s="361"/>
      <c r="GF29" s="361"/>
      <c r="GG29" s="361"/>
      <c r="GH29" s="361"/>
      <c r="GI29" s="361"/>
      <c r="GJ29" s="361"/>
      <c r="GK29" s="361"/>
      <c r="GL29" s="361"/>
      <c r="GM29" s="361"/>
      <c r="GN29" s="361"/>
      <c r="GO29" s="361"/>
      <c r="GP29" s="361"/>
      <c r="GQ29" s="361"/>
      <c r="GR29" s="361"/>
      <c r="GS29" s="361"/>
      <c r="GT29" s="361"/>
      <c r="GU29" s="361"/>
      <c r="GV29" s="361"/>
      <c r="GW29" s="361"/>
      <c r="GX29" s="361"/>
      <c r="GY29" s="361"/>
      <c r="GZ29" s="361"/>
      <c r="HA29" s="361"/>
      <c r="HB29" s="361"/>
      <c r="HC29" s="361"/>
      <c r="HD29" s="361"/>
      <c r="HE29" s="361"/>
      <c r="HF29" s="361"/>
      <c r="HG29" s="361"/>
      <c r="HH29" s="361"/>
      <c r="HI29" s="361"/>
      <c r="HJ29" s="361"/>
      <c r="HK29" s="361"/>
      <c r="HL29" s="361"/>
      <c r="HM29" s="361"/>
      <c r="HN29" s="361"/>
      <c r="HO29" s="361"/>
      <c r="HP29" s="361"/>
      <c r="HQ29" s="361"/>
      <c r="HR29" s="361"/>
      <c r="HS29" s="361"/>
      <c r="HT29" s="361"/>
      <c r="HU29" s="361"/>
      <c r="HV29" s="361"/>
      <c r="HW29" s="361"/>
      <c r="HX29" s="361"/>
      <c r="HY29" s="361"/>
      <c r="HZ29" s="361"/>
      <c r="IA29" s="361"/>
      <c r="IB29" s="361"/>
      <c r="IC29" s="361"/>
      <c r="ID29" s="361"/>
      <c r="IE29" s="361"/>
      <c r="IF29" s="361"/>
      <c r="IG29" s="361"/>
      <c r="IH29" s="361"/>
      <c r="II29" s="361"/>
      <c r="IJ29" s="361"/>
      <c r="IK29" s="361"/>
      <c r="IL29" s="361"/>
      <c r="IM29" s="361"/>
      <c r="IN29" s="361"/>
      <c r="IO29" s="361"/>
      <c r="IP29" s="361"/>
      <c r="IQ29" s="361"/>
      <c r="IR29" s="361"/>
      <c r="IS29" s="361"/>
      <c r="IT29" s="361"/>
      <c r="IU29" s="361"/>
      <c r="IV29" s="361"/>
      <c r="IW29" s="361"/>
      <c r="IX29" s="361"/>
      <c r="IY29" s="346" t="s">
        <v>73</v>
      </c>
      <c r="IZ29" s="346"/>
      <c r="JA29" s="346"/>
      <c r="JB29" s="346"/>
      <c r="JC29" s="346"/>
      <c r="JD29" s="346"/>
      <c r="JE29" s="361"/>
    </row>
    <row r="30" spans="1:265" s="175" customFormat="1" ht="19.95" customHeight="1">
      <c r="A30" s="442"/>
      <c r="B30" s="707"/>
      <c r="C30" s="328" t="s">
        <v>152</v>
      </c>
      <c r="D30" s="336"/>
      <c r="E30" s="443">
        <f>COUNTIFS(Table1351452010[[#All],[Sales]],"คุณนรินทร์ ปิงมูล",Table1351452010[[#All],[Total 
คอมฯค่าเชื่อมสัญญาณ
(3)]],"&gt;1")</f>
        <v>0</v>
      </c>
      <c r="F30" s="444">
        <f>SUMIF(Table1351452010[[#All],[Sales]],"คุณนรินทร์ ปิงมูล",Table1351452010[[#All],[Total 
คอมฯค่าเชื่อมสัญญาณ
(3)]])</f>
        <v>0</v>
      </c>
      <c r="G30" s="431">
        <v>0</v>
      </c>
      <c r="H30" s="433">
        <f t="shared" si="3"/>
        <v>0</v>
      </c>
      <c r="I30" s="359"/>
      <c r="J30" s="359"/>
      <c r="K30" s="359"/>
      <c r="L30" s="359"/>
      <c r="M30" s="360"/>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1"/>
      <c r="CB30" s="361"/>
      <c r="CC30" s="361"/>
      <c r="CD30" s="361"/>
      <c r="CE30" s="361"/>
      <c r="CF30" s="361"/>
      <c r="CG30" s="361"/>
      <c r="CH30" s="361"/>
      <c r="CI30" s="361"/>
      <c r="CJ30" s="361"/>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1"/>
      <c r="DI30" s="361"/>
      <c r="DJ30" s="361"/>
      <c r="DK30" s="361"/>
      <c r="DL30" s="361"/>
      <c r="DM30" s="361"/>
      <c r="DN30" s="361"/>
      <c r="DO30" s="361"/>
      <c r="DP30" s="361"/>
      <c r="DQ30" s="361"/>
      <c r="DR30" s="361"/>
      <c r="DS30" s="361"/>
      <c r="DT30" s="361"/>
      <c r="DU30" s="361"/>
      <c r="DV30" s="361"/>
      <c r="DW30" s="361"/>
      <c r="DX30" s="361"/>
      <c r="DY30" s="361"/>
      <c r="DZ30" s="361"/>
      <c r="EA30" s="361"/>
      <c r="EB30" s="361"/>
      <c r="EC30" s="361"/>
      <c r="ED30" s="361"/>
      <c r="EE30" s="361"/>
      <c r="EF30" s="361"/>
      <c r="EG30" s="361"/>
      <c r="EH30" s="361"/>
      <c r="EI30" s="361"/>
      <c r="EJ30" s="361"/>
      <c r="EK30" s="361"/>
      <c r="EL30" s="361"/>
      <c r="EM30" s="361"/>
      <c r="EN30" s="361"/>
      <c r="EO30" s="361"/>
      <c r="EP30" s="361"/>
      <c r="EQ30" s="361"/>
      <c r="ER30" s="361"/>
      <c r="ES30" s="361"/>
      <c r="ET30" s="361"/>
      <c r="EU30" s="361"/>
      <c r="EV30" s="361"/>
      <c r="EW30" s="361"/>
      <c r="EX30" s="361"/>
      <c r="EY30" s="361"/>
      <c r="EZ30" s="361"/>
      <c r="FA30" s="361"/>
      <c r="FB30" s="361"/>
      <c r="FC30" s="361"/>
      <c r="FD30" s="361"/>
      <c r="FE30" s="361"/>
      <c r="FF30" s="361"/>
      <c r="FG30" s="361"/>
      <c r="FH30" s="361"/>
      <c r="FI30" s="361"/>
      <c r="FJ30" s="361"/>
      <c r="FK30" s="361"/>
      <c r="FL30" s="361"/>
      <c r="FM30" s="361"/>
      <c r="FN30" s="361"/>
      <c r="FO30" s="361"/>
      <c r="FP30" s="361"/>
      <c r="FQ30" s="361"/>
      <c r="FR30" s="361"/>
      <c r="FS30" s="361"/>
      <c r="FT30" s="361"/>
      <c r="FU30" s="361"/>
      <c r="FV30" s="361"/>
      <c r="FW30" s="361"/>
      <c r="FX30" s="361"/>
      <c r="FY30" s="361"/>
      <c r="FZ30" s="361"/>
      <c r="GA30" s="361"/>
      <c r="GB30" s="361"/>
      <c r="GC30" s="361"/>
      <c r="GD30" s="361"/>
      <c r="GE30" s="361"/>
      <c r="GF30" s="361"/>
      <c r="GG30" s="361"/>
      <c r="GH30" s="361"/>
      <c r="GI30" s="361"/>
      <c r="GJ30" s="361"/>
      <c r="GK30" s="361"/>
      <c r="GL30" s="361"/>
      <c r="GM30" s="361"/>
      <c r="GN30" s="361"/>
      <c r="GO30" s="361"/>
      <c r="GP30" s="361"/>
      <c r="GQ30" s="361"/>
      <c r="GR30" s="361"/>
      <c r="GS30" s="361"/>
      <c r="GT30" s="361"/>
      <c r="GU30" s="361"/>
      <c r="GV30" s="361"/>
      <c r="GW30" s="361"/>
      <c r="GX30" s="361"/>
      <c r="GY30" s="361"/>
      <c r="GZ30" s="361"/>
      <c r="HA30" s="361"/>
      <c r="HB30" s="361"/>
      <c r="HC30" s="361"/>
      <c r="HD30" s="361"/>
      <c r="HE30" s="361"/>
      <c r="HF30" s="361"/>
      <c r="HG30" s="361"/>
      <c r="HH30" s="361"/>
      <c r="HI30" s="361"/>
      <c r="HJ30" s="361"/>
      <c r="HK30" s="361"/>
      <c r="HL30" s="361"/>
      <c r="HM30" s="361"/>
      <c r="HN30" s="361"/>
      <c r="HO30" s="361"/>
      <c r="HP30" s="361"/>
      <c r="HQ30" s="361"/>
      <c r="HR30" s="361"/>
      <c r="HS30" s="361"/>
      <c r="HT30" s="361"/>
      <c r="HU30" s="361"/>
      <c r="HV30" s="361"/>
      <c r="HW30" s="361"/>
      <c r="HX30" s="361"/>
      <c r="HY30" s="361"/>
      <c r="HZ30" s="361"/>
      <c r="IA30" s="361"/>
      <c r="IB30" s="361"/>
      <c r="IC30" s="361"/>
      <c r="ID30" s="361"/>
      <c r="IE30" s="361"/>
      <c r="IF30" s="361"/>
      <c r="IG30" s="361"/>
      <c r="IH30" s="361"/>
      <c r="II30" s="361"/>
      <c r="IJ30" s="361"/>
      <c r="IK30" s="361"/>
      <c r="IL30" s="361"/>
      <c r="IM30" s="361"/>
      <c r="IN30" s="361"/>
      <c r="IO30" s="361"/>
      <c r="IP30" s="361"/>
      <c r="IQ30" s="361"/>
      <c r="IR30" s="361"/>
      <c r="IS30" s="361"/>
      <c r="IT30" s="361"/>
      <c r="IU30" s="361"/>
      <c r="IV30" s="361"/>
      <c r="IW30" s="361"/>
      <c r="IX30" s="361"/>
      <c r="IY30" s="346" t="s">
        <v>74</v>
      </c>
      <c r="IZ30" s="346"/>
      <c r="JA30" s="346"/>
      <c r="JB30" s="346"/>
      <c r="JC30" s="346"/>
      <c r="JD30" s="346"/>
      <c r="JE30" s="361"/>
    </row>
    <row r="31" spans="1:265" s="175" customFormat="1" ht="19.95" customHeight="1">
      <c r="A31" s="442"/>
      <c r="B31" s="707"/>
      <c r="C31" s="328" t="s">
        <v>130</v>
      </c>
      <c r="D31" s="336"/>
      <c r="E31" s="443">
        <f>COUNTIFS(Table1351452010[[#All],[Sales]],"คุณชนัฐฎา สนคะมี",Table1351452010[[#All],[Total 
คอมฯค่าเชื่อมสัญญาณ
(3)]],"&gt;1")</f>
        <v>0</v>
      </c>
      <c r="F31" s="444">
        <f>SUMIF(Table1351452010[[#All],[Sales]],"คุณชนัฐฎา สนคะมี",Table1351452010[[#All],[Total 
คอมฯค่าเชื่อมสัญญาณ
(3)]])</f>
        <v>0</v>
      </c>
      <c r="G31" s="431">
        <v>0</v>
      </c>
      <c r="H31" s="433">
        <f t="shared" si="3"/>
        <v>0</v>
      </c>
      <c r="I31" s="359"/>
      <c r="J31" s="359"/>
      <c r="K31" s="359"/>
      <c r="L31" s="359"/>
      <c r="M31" s="360"/>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1"/>
      <c r="BJ31" s="361"/>
      <c r="BK31" s="361"/>
      <c r="BL31" s="361"/>
      <c r="BM31" s="361"/>
      <c r="BN31" s="361"/>
      <c r="BO31" s="361"/>
      <c r="BP31" s="361"/>
      <c r="BQ31" s="361"/>
      <c r="BR31" s="361"/>
      <c r="BS31" s="361"/>
      <c r="BT31" s="361"/>
      <c r="BU31" s="361"/>
      <c r="BV31" s="361"/>
      <c r="BW31" s="361"/>
      <c r="BX31" s="361"/>
      <c r="BY31" s="361"/>
      <c r="BZ31" s="361"/>
      <c r="CA31" s="361"/>
      <c r="CB31" s="361"/>
      <c r="CC31" s="361"/>
      <c r="CD31" s="361"/>
      <c r="CE31" s="361"/>
      <c r="CF31" s="361"/>
      <c r="CG31" s="361"/>
      <c r="CH31" s="361"/>
      <c r="CI31" s="361"/>
      <c r="CJ31" s="361"/>
      <c r="CK31" s="361"/>
      <c r="CL31" s="361"/>
      <c r="CM31" s="361"/>
      <c r="CN31" s="361"/>
      <c r="CO31" s="361"/>
      <c r="CP31" s="361"/>
      <c r="CQ31" s="361"/>
      <c r="CR31" s="361"/>
      <c r="CS31" s="361"/>
      <c r="CT31" s="361"/>
      <c r="CU31" s="361"/>
      <c r="CV31" s="361"/>
      <c r="CW31" s="361"/>
      <c r="CX31" s="361"/>
      <c r="CY31" s="361"/>
      <c r="CZ31" s="361"/>
      <c r="DA31" s="361"/>
      <c r="DB31" s="361"/>
      <c r="DC31" s="361"/>
      <c r="DD31" s="361"/>
      <c r="DE31" s="361"/>
      <c r="DF31" s="361"/>
      <c r="DG31" s="361"/>
      <c r="DH31" s="361"/>
      <c r="DI31" s="361"/>
      <c r="DJ31" s="361"/>
      <c r="DK31" s="361"/>
      <c r="DL31" s="361"/>
      <c r="DM31" s="361"/>
      <c r="DN31" s="361"/>
      <c r="DO31" s="361"/>
      <c r="DP31" s="361"/>
      <c r="DQ31" s="361"/>
      <c r="DR31" s="361"/>
      <c r="DS31" s="361"/>
      <c r="DT31" s="361"/>
      <c r="DU31" s="361"/>
      <c r="DV31" s="361"/>
      <c r="DW31" s="361"/>
      <c r="DX31" s="361"/>
      <c r="DY31" s="361"/>
      <c r="DZ31" s="361"/>
      <c r="EA31" s="361"/>
      <c r="EB31" s="361"/>
      <c r="EC31" s="361"/>
      <c r="ED31" s="361"/>
      <c r="EE31" s="361"/>
      <c r="EF31" s="361"/>
      <c r="EG31" s="361"/>
      <c r="EH31" s="361"/>
      <c r="EI31" s="361"/>
      <c r="EJ31" s="361"/>
      <c r="EK31" s="361"/>
      <c r="EL31" s="361"/>
      <c r="EM31" s="361"/>
      <c r="EN31" s="361"/>
      <c r="EO31" s="361"/>
      <c r="EP31" s="361"/>
      <c r="EQ31" s="361"/>
      <c r="ER31" s="361"/>
      <c r="ES31" s="361"/>
      <c r="ET31" s="361"/>
      <c r="EU31" s="361"/>
      <c r="EV31" s="361"/>
      <c r="EW31" s="361"/>
      <c r="EX31" s="361"/>
      <c r="EY31" s="361"/>
      <c r="EZ31" s="361"/>
      <c r="FA31" s="361"/>
      <c r="FB31" s="361"/>
      <c r="FC31" s="361"/>
      <c r="FD31" s="361"/>
      <c r="FE31" s="361"/>
      <c r="FF31" s="361"/>
      <c r="FG31" s="361"/>
      <c r="FH31" s="361"/>
      <c r="FI31" s="361"/>
      <c r="FJ31" s="361"/>
      <c r="FK31" s="361"/>
      <c r="FL31" s="361"/>
      <c r="FM31" s="361"/>
      <c r="FN31" s="361"/>
      <c r="FO31" s="361"/>
      <c r="FP31" s="361"/>
      <c r="FQ31" s="361"/>
      <c r="FR31" s="361"/>
      <c r="FS31" s="361"/>
      <c r="FT31" s="361"/>
      <c r="FU31" s="361"/>
      <c r="FV31" s="361"/>
      <c r="FW31" s="361"/>
      <c r="FX31" s="361"/>
      <c r="FY31" s="361"/>
      <c r="FZ31" s="361"/>
      <c r="GA31" s="361"/>
      <c r="GB31" s="361"/>
      <c r="GC31" s="361"/>
      <c r="GD31" s="361"/>
      <c r="GE31" s="361"/>
      <c r="GF31" s="361"/>
      <c r="GG31" s="361"/>
      <c r="GH31" s="361"/>
      <c r="GI31" s="361"/>
      <c r="GJ31" s="361"/>
      <c r="GK31" s="361"/>
      <c r="GL31" s="361"/>
      <c r="GM31" s="361"/>
      <c r="GN31" s="361"/>
      <c r="GO31" s="361"/>
      <c r="GP31" s="361"/>
      <c r="GQ31" s="361"/>
      <c r="GR31" s="361"/>
      <c r="GS31" s="361"/>
      <c r="GT31" s="361"/>
      <c r="GU31" s="361"/>
      <c r="GV31" s="361"/>
      <c r="GW31" s="361"/>
      <c r="GX31" s="361"/>
      <c r="GY31" s="361"/>
      <c r="GZ31" s="361"/>
      <c r="HA31" s="361"/>
      <c r="HB31" s="361"/>
      <c r="HC31" s="361"/>
      <c r="HD31" s="361"/>
      <c r="HE31" s="361"/>
      <c r="HF31" s="361"/>
      <c r="HG31" s="361"/>
      <c r="HH31" s="361"/>
      <c r="HI31" s="361"/>
      <c r="HJ31" s="361"/>
      <c r="HK31" s="361"/>
      <c r="HL31" s="361"/>
      <c r="HM31" s="361"/>
      <c r="HN31" s="361"/>
      <c r="HO31" s="361"/>
      <c r="HP31" s="361"/>
      <c r="HQ31" s="361"/>
      <c r="HR31" s="361"/>
      <c r="HS31" s="361"/>
      <c r="HT31" s="361"/>
      <c r="HU31" s="361"/>
      <c r="HV31" s="361"/>
      <c r="HW31" s="361"/>
      <c r="HX31" s="361"/>
      <c r="HY31" s="361"/>
      <c r="HZ31" s="361"/>
      <c r="IA31" s="361"/>
      <c r="IB31" s="361"/>
      <c r="IC31" s="361"/>
      <c r="ID31" s="361"/>
      <c r="IE31" s="361"/>
      <c r="IF31" s="361"/>
      <c r="IG31" s="361"/>
      <c r="IH31" s="361"/>
      <c r="II31" s="361"/>
      <c r="IJ31" s="361"/>
      <c r="IK31" s="361"/>
      <c r="IL31" s="361"/>
      <c r="IM31" s="361"/>
      <c r="IN31" s="361"/>
      <c r="IO31" s="361"/>
      <c r="IP31" s="361"/>
      <c r="IQ31" s="361"/>
      <c r="IR31" s="361"/>
      <c r="IS31" s="361"/>
      <c r="IT31" s="361"/>
      <c r="IU31" s="361"/>
      <c r="IV31" s="361"/>
      <c r="IW31" s="361"/>
      <c r="IX31" s="361"/>
      <c r="IY31" s="346" t="s">
        <v>75</v>
      </c>
      <c r="IZ31" s="346"/>
      <c r="JA31" s="346"/>
      <c r="JB31" s="346"/>
      <c r="JC31" s="346"/>
      <c r="JD31" s="346"/>
      <c r="JE31" s="361"/>
    </row>
    <row r="32" spans="1:265" s="175" customFormat="1" ht="19.95" customHeight="1">
      <c r="A32" s="442"/>
      <c r="B32" s="707"/>
      <c r="C32" s="328" t="s">
        <v>151</v>
      </c>
      <c r="D32" s="336"/>
      <c r="E32" s="443">
        <f>COUNTIFS(Table1351452010[[#All],[Sales]],"คุณจิรภิญญา เป็นปึก",Table1351452010[[#All],[Total 
คอมฯค่าเชื่อมสัญญาณ
(3)]],"&gt;1")</f>
        <v>0</v>
      </c>
      <c r="F32" s="444">
        <f>SUMIF(Table1351452010[[#All],[Sales]],"คุณจิรภิญญา เป็นปึก",Table1351452010[[#All],[Total 
คอมฯค่าเชื่อมสัญญาณ
(3)]])</f>
        <v>0</v>
      </c>
      <c r="G32" s="431">
        <v>0</v>
      </c>
      <c r="H32" s="433">
        <f t="shared" si="3"/>
        <v>0</v>
      </c>
      <c r="I32" s="359"/>
      <c r="J32" s="359"/>
      <c r="K32" s="359"/>
      <c r="L32" s="359"/>
      <c r="M32" s="360"/>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1"/>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1"/>
      <c r="DI32" s="361"/>
      <c r="DJ32" s="361"/>
      <c r="DK32" s="361"/>
      <c r="DL32" s="361"/>
      <c r="DM32" s="361"/>
      <c r="DN32" s="361"/>
      <c r="DO32" s="361"/>
      <c r="DP32" s="361"/>
      <c r="DQ32" s="361"/>
      <c r="DR32" s="361"/>
      <c r="DS32" s="361"/>
      <c r="DT32" s="361"/>
      <c r="DU32" s="361"/>
      <c r="DV32" s="361"/>
      <c r="DW32" s="361"/>
      <c r="DX32" s="361"/>
      <c r="DY32" s="361"/>
      <c r="DZ32" s="361"/>
      <c r="EA32" s="361"/>
      <c r="EB32" s="361"/>
      <c r="EC32" s="361"/>
      <c r="ED32" s="361"/>
      <c r="EE32" s="361"/>
      <c r="EF32" s="361"/>
      <c r="EG32" s="361"/>
      <c r="EH32" s="361"/>
      <c r="EI32" s="361"/>
      <c r="EJ32" s="361"/>
      <c r="EK32" s="361"/>
      <c r="EL32" s="361"/>
      <c r="EM32" s="361"/>
      <c r="EN32" s="361"/>
      <c r="EO32" s="361"/>
      <c r="EP32" s="361"/>
      <c r="EQ32" s="361"/>
      <c r="ER32" s="361"/>
      <c r="ES32" s="361"/>
      <c r="ET32" s="361"/>
      <c r="EU32" s="361"/>
      <c r="EV32" s="361"/>
      <c r="EW32" s="361"/>
      <c r="EX32" s="361"/>
      <c r="EY32" s="361"/>
      <c r="EZ32" s="361"/>
      <c r="FA32" s="361"/>
      <c r="FB32" s="361"/>
      <c r="FC32" s="361"/>
      <c r="FD32" s="361"/>
      <c r="FE32" s="361"/>
      <c r="FF32" s="361"/>
      <c r="FG32" s="361"/>
      <c r="FH32" s="361"/>
      <c r="FI32" s="361"/>
      <c r="FJ32" s="361"/>
      <c r="FK32" s="361"/>
      <c r="FL32" s="361"/>
      <c r="FM32" s="361"/>
      <c r="FN32" s="361"/>
      <c r="FO32" s="361"/>
      <c r="FP32" s="361"/>
      <c r="FQ32" s="361"/>
      <c r="FR32" s="361"/>
      <c r="FS32" s="361"/>
      <c r="FT32" s="361"/>
      <c r="FU32" s="361"/>
      <c r="FV32" s="361"/>
      <c r="FW32" s="361"/>
      <c r="FX32" s="361"/>
      <c r="FY32" s="361"/>
      <c r="FZ32" s="361"/>
      <c r="GA32" s="361"/>
      <c r="GB32" s="361"/>
      <c r="GC32" s="361"/>
      <c r="GD32" s="361"/>
      <c r="GE32" s="361"/>
      <c r="GF32" s="361"/>
      <c r="GG32" s="361"/>
      <c r="GH32" s="361"/>
      <c r="GI32" s="361"/>
      <c r="GJ32" s="361"/>
      <c r="GK32" s="361"/>
      <c r="GL32" s="361"/>
      <c r="GM32" s="361"/>
      <c r="GN32" s="361"/>
      <c r="GO32" s="361"/>
      <c r="GP32" s="361"/>
      <c r="GQ32" s="361"/>
      <c r="GR32" s="361"/>
      <c r="GS32" s="361"/>
      <c r="GT32" s="361"/>
      <c r="GU32" s="361"/>
      <c r="GV32" s="361"/>
      <c r="GW32" s="361"/>
      <c r="GX32" s="361"/>
      <c r="GY32" s="361"/>
      <c r="GZ32" s="361"/>
      <c r="HA32" s="361"/>
      <c r="HB32" s="361"/>
      <c r="HC32" s="361"/>
      <c r="HD32" s="361"/>
      <c r="HE32" s="361"/>
      <c r="HF32" s="361"/>
      <c r="HG32" s="361"/>
      <c r="HH32" s="361"/>
      <c r="HI32" s="361"/>
      <c r="HJ32" s="361"/>
      <c r="HK32" s="361"/>
      <c r="HL32" s="361"/>
      <c r="HM32" s="361"/>
      <c r="HN32" s="361"/>
      <c r="HO32" s="361"/>
      <c r="HP32" s="361"/>
      <c r="HQ32" s="361"/>
      <c r="HR32" s="361"/>
      <c r="HS32" s="361"/>
      <c r="HT32" s="361"/>
      <c r="HU32" s="361"/>
      <c r="HV32" s="361"/>
      <c r="HW32" s="361"/>
      <c r="HX32" s="361"/>
      <c r="HY32" s="361"/>
      <c r="HZ32" s="361"/>
      <c r="IA32" s="361"/>
      <c r="IB32" s="361"/>
      <c r="IC32" s="361"/>
      <c r="ID32" s="361"/>
      <c r="IE32" s="361"/>
      <c r="IF32" s="361"/>
      <c r="IG32" s="361"/>
      <c r="IH32" s="361"/>
      <c r="II32" s="361"/>
      <c r="IJ32" s="361"/>
      <c r="IK32" s="361"/>
      <c r="IL32" s="361"/>
      <c r="IM32" s="361"/>
      <c r="IN32" s="361"/>
      <c r="IO32" s="361"/>
      <c r="IP32" s="361"/>
      <c r="IQ32" s="361"/>
      <c r="IR32" s="361"/>
      <c r="IS32" s="361"/>
      <c r="IT32" s="361"/>
      <c r="IU32" s="361"/>
      <c r="IV32" s="361"/>
      <c r="IW32" s="361"/>
      <c r="IX32" s="361"/>
      <c r="IY32" s="346" t="s">
        <v>152</v>
      </c>
      <c r="IZ32" s="346"/>
      <c r="JA32" s="346"/>
      <c r="JB32" s="346"/>
      <c r="JC32" s="346"/>
      <c r="JD32" s="346"/>
      <c r="JE32" s="361"/>
    </row>
    <row r="33" spans="1:267" s="175" customFormat="1" ht="19.95" customHeight="1">
      <c r="A33" s="442"/>
      <c r="B33" s="707"/>
      <c r="C33" s="328" t="s">
        <v>72</v>
      </c>
      <c r="D33" s="336"/>
      <c r="E33" s="443">
        <f>COUNTIFS(Table1351452010[[#All],[Sales]],"คุณแดง มูลสองแคว",Table1351452010[[#All],[Total 
คอมฯค่าเชื่อมสัญญาณ
(3)]],"&gt;1")</f>
        <v>0</v>
      </c>
      <c r="F33" s="444">
        <f>SUMIF(Table1351452010[[#All],[Sales]],"คุณแดง มูลสองแคว",Table1351452010[[#All],[Total 
คอมฯค่าเชื่อมสัญญาณ
(3)]])</f>
        <v>0</v>
      </c>
      <c r="G33" s="431">
        <v>0</v>
      </c>
      <c r="H33" s="433">
        <f t="shared" si="3"/>
        <v>0</v>
      </c>
      <c r="I33" s="359"/>
      <c r="J33" s="359"/>
      <c r="K33" s="359"/>
      <c r="L33" s="359"/>
      <c r="M33" s="360"/>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1"/>
      <c r="BJ33" s="361"/>
      <c r="BK33" s="361"/>
      <c r="BL33" s="361"/>
      <c r="BM33" s="361"/>
      <c r="BN33" s="361"/>
      <c r="BO33" s="361"/>
      <c r="BP33" s="361"/>
      <c r="BQ33" s="361"/>
      <c r="BR33" s="361"/>
      <c r="BS33" s="361"/>
      <c r="BT33" s="361"/>
      <c r="BU33" s="361"/>
      <c r="BV33" s="361"/>
      <c r="BW33" s="361"/>
      <c r="BX33" s="361"/>
      <c r="BY33" s="361"/>
      <c r="BZ33" s="361"/>
      <c r="CA33" s="361"/>
      <c r="CB33" s="361"/>
      <c r="CC33" s="361"/>
      <c r="CD33" s="361"/>
      <c r="CE33" s="361"/>
      <c r="CF33" s="361"/>
      <c r="CG33" s="361"/>
      <c r="CH33" s="361"/>
      <c r="CI33" s="361"/>
      <c r="CJ33" s="361"/>
      <c r="CK33" s="361"/>
      <c r="CL33" s="361"/>
      <c r="CM33" s="361"/>
      <c r="CN33" s="361"/>
      <c r="CO33" s="361"/>
      <c r="CP33" s="361"/>
      <c r="CQ33" s="361"/>
      <c r="CR33" s="361"/>
      <c r="CS33" s="361"/>
      <c r="CT33" s="361"/>
      <c r="CU33" s="361"/>
      <c r="CV33" s="361"/>
      <c r="CW33" s="361"/>
      <c r="CX33" s="361"/>
      <c r="CY33" s="361"/>
      <c r="CZ33" s="361"/>
      <c r="DA33" s="361"/>
      <c r="DB33" s="361"/>
      <c r="DC33" s="361"/>
      <c r="DD33" s="361"/>
      <c r="DE33" s="361"/>
      <c r="DF33" s="361"/>
      <c r="DG33" s="361"/>
      <c r="DH33" s="361"/>
      <c r="DI33" s="361"/>
      <c r="DJ33" s="361"/>
      <c r="DK33" s="361"/>
      <c r="DL33" s="361"/>
      <c r="DM33" s="361"/>
      <c r="DN33" s="361"/>
      <c r="DO33" s="361"/>
      <c r="DP33" s="361"/>
      <c r="DQ33" s="361"/>
      <c r="DR33" s="361"/>
      <c r="DS33" s="361"/>
      <c r="DT33" s="361"/>
      <c r="DU33" s="361"/>
      <c r="DV33" s="361"/>
      <c r="DW33" s="361"/>
      <c r="DX33" s="361"/>
      <c r="DY33" s="361"/>
      <c r="DZ33" s="361"/>
      <c r="EA33" s="361"/>
      <c r="EB33" s="361"/>
      <c r="EC33" s="361"/>
      <c r="ED33" s="361"/>
      <c r="EE33" s="361"/>
      <c r="EF33" s="361"/>
      <c r="EG33" s="361"/>
      <c r="EH33" s="361"/>
      <c r="EI33" s="361"/>
      <c r="EJ33" s="361"/>
      <c r="EK33" s="361"/>
      <c r="EL33" s="361"/>
      <c r="EM33" s="361"/>
      <c r="EN33" s="361"/>
      <c r="EO33" s="361"/>
      <c r="EP33" s="361"/>
      <c r="EQ33" s="361"/>
      <c r="ER33" s="361"/>
      <c r="ES33" s="361"/>
      <c r="ET33" s="361"/>
      <c r="EU33" s="361"/>
      <c r="EV33" s="361"/>
      <c r="EW33" s="361"/>
      <c r="EX33" s="361"/>
      <c r="EY33" s="361"/>
      <c r="EZ33" s="361"/>
      <c r="FA33" s="361"/>
      <c r="FB33" s="361"/>
      <c r="FC33" s="361"/>
      <c r="FD33" s="361"/>
      <c r="FE33" s="361"/>
      <c r="FF33" s="361"/>
      <c r="FG33" s="361"/>
      <c r="FH33" s="361"/>
      <c r="FI33" s="361"/>
      <c r="FJ33" s="361"/>
      <c r="FK33" s="361"/>
      <c r="FL33" s="361"/>
      <c r="FM33" s="361"/>
      <c r="FN33" s="361"/>
      <c r="FO33" s="361"/>
      <c r="FP33" s="361"/>
      <c r="FQ33" s="361"/>
      <c r="FR33" s="361"/>
      <c r="FS33" s="361"/>
      <c r="FT33" s="361"/>
      <c r="FU33" s="361"/>
      <c r="FV33" s="361"/>
      <c r="FW33" s="361"/>
      <c r="FX33" s="361"/>
      <c r="FY33" s="361"/>
      <c r="FZ33" s="361"/>
      <c r="GA33" s="361"/>
      <c r="GB33" s="361"/>
      <c r="GC33" s="361"/>
      <c r="GD33" s="361"/>
      <c r="GE33" s="361"/>
      <c r="GF33" s="361"/>
      <c r="GG33" s="361"/>
      <c r="GH33" s="361"/>
      <c r="GI33" s="361"/>
      <c r="GJ33" s="361"/>
      <c r="GK33" s="361"/>
      <c r="GL33" s="361"/>
      <c r="GM33" s="361"/>
      <c r="GN33" s="361"/>
      <c r="GO33" s="361"/>
      <c r="GP33" s="361"/>
      <c r="GQ33" s="361"/>
      <c r="GR33" s="361"/>
      <c r="GS33" s="361"/>
      <c r="GT33" s="361"/>
      <c r="GU33" s="361"/>
      <c r="GV33" s="361"/>
      <c r="GW33" s="361"/>
      <c r="GX33" s="361"/>
      <c r="GY33" s="361"/>
      <c r="GZ33" s="361"/>
      <c r="HA33" s="361"/>
      <c r="HB33" s="361"/>
      <c r="HC33" s="361"/>
      <c r="HD33" s="361"/>
      <c r="HE33" s="361"/>
      <c r="HF33" s="361"/>
      <c r="HG33" s="361"/>
      <c r="HH33" s="361"/>
      <c r="HI33" s="361"/>
      <c r="HJ33" s="361"/>
      <c r="HK33" s="361"/>
      <c r="HL33" s="361"/>
      <c r="HM33" s="361"/>
      <c r="HN33" s="361"/>
      <c r="HO33" s="361"/>
      <c r="HP33" s="361"/>
      <c r="HQ33" s="361"/>
      <c r="HR33" s="361"/>
      <c r="HS33" s="361"/>
      <c r="HT33" s="361"/>
      <c r="HU33" s="361"/>
      <c r="HV33" s="361"/>
      <c r="HW33" s="361"/>
      <c r="HX33" s="361"/>
      <c r="HY33" s="361"/>
      <c r="HZ33" s="361"/>
      <c r="IA33" s="361"/>
      <c r="IB33" s="361"/>
      <c r="IC33" s="361"/>
      <c r="ID33" s="361"/>
      <c r="IE33" s="361"/>
      <c r="IF33" s="361"/>
      <c r="IG33" s="361"/>
      <c r="IH33" s="361"/>
      <c r="II33" s="361"/>
      <c r="IJ33" s="361"/>
      <c r="IK33" s="361"/>
      <c r="IL33" s="361"/>
      <c r="IM33" s="361"/>
      <c r="IN33" s="361"/>
      <c r="IO33" s="361"/>
      <c r="IP33" s="361"/>
      <c r="IQ33" s="361"/>
      <c r="IR33" s="361"/>
      <c r="IS33" s="361"/>
      <c r="IT33" s="361"/>
      <c r="IU33" s="361"/>
      <c r="IV33" s="361"/>
      <c r="IW33" s="361"/>
      <c r="IX33" s="361"/>
      <c r="IY33" s="346" t="s">
        <v>130</v>
      </c>
      <c r="IZ33" s="346"/>
      <c r="JA33" s="346"/>
      <c r="JB33" s="346"/>
      <c r="JC33" s="346"/>
      <c r="JD33" s="346"/>
      <c r="JE33" s="361"/>
    </row>
    <row r="34" spans="1:267" s="175" customFormat="1" ht="19.95" customHeight="1" thickBot="1">
      <c r="A34" s="442"/>
      <c r="B34" s="335"/>
      <c r="C34" s="328" t="s">
        <v>67</v>
      </c>
      <c r="D34" s="336"/>
      <c r="E34" s="443">
        <f>COUNTIFS(Table1351452010[[#All],[Sales]],"คุณรุ่งอรุณ อินบุญรอด",Table1351452010[[#All],[Total 
คอมฯค่าเชื่อมสัญญาณ
(3)]],"&gt;1")</f>
        <v>0</v>
      </c>
      <c r="F34" s="444">
        <f>SUMIF(Table1351452010[[#All],[Sales]],"คุณรุ่งอรุณ อินบุญรอด",Table1351452010[[#All],[Total 
คอมฯค่าเชื่อมสัญญาณ
(3)]])</f>
        <v>0</v>
      </c>
      <c r="G34" s="431">
        <v>0</v>
      </c>
      <c r="H34" s="433">
        <f t="shared" si="3"/>
        <v>0</v>
      </c>
      <c r="I34" s="359"/>
      <c r="J34" s="359"/>
      <c r="K34" s="359"/>
      <c r="L34" s="359"/>
      <c r="M34" s="360"/>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c r="BY34" s="361"/>
      <c r="BZ34" s="361"/>
      <c r="CA34" s="361"/>
      <c r="CB34" s="361"/>
      <c r="CC34" s="361"/>
      <c r="CD34" s="361"/>
      <c r="CE34" s="361"/>
      <c r="CF34" s="361"/>
      <c r="CG34" s="361"/>
      <c r="CH34" s="361"/>
      <c r="CI34" s="361"/>
      <c r="CJ34" s="361"/>
      <c r="CK34" s="361"/>
      <c r="CL34" s="361"/>
      <c r="CM34" s="361"/>
      <c r="CN34" s="361"/>
      <c r="CO34" s="361"/>
      <c r="CP34" s="361"/>
      <c r="CQ34" s="361"/>
      <c r="CR34" s="361"/>
      <c r="CS34" s="361"/>
      <c r="CT34" s="361"/>
      <c r="CU34" s="361"/>
      <c r="CV34" s="361"/>
      <c r="CW34" s="361"/>
      <c r="CX34" s="361"/>
      <c r="CY34" s="361"/>
      <c r="CZ34" s="361"/>
      <c r="DA34" s="361"/>
      <c r="DB34" s="361"/>
      <c r="DC34" s="361"/>
      <c r="DD34" s="361"/>
      <c r="DE34" s="361"/>
      <c r="DF34" s="361"/>
      <c r="DG34" s="361"/>
      <c r="DH34" s="361"/>
      <c r="DI34" s="361"/>
      <c r="DJ34" s="361"/>
      <c r="DK34" s="361"/>
      <c r="DL34" s="361"/>
      <c r="DM34" s="361"/>
      <c r="DN34" s="361"/>
      <c r="DO34" s="361"/>
      <c r="DP34" s="361"/>
      <c r="DQ34" s="361"/>
      <c r="DR34" s="361"/>
      <c r="DS34" s="361"/>
      <c r="DT34" s="361"/>
      <c r="DU34" s="361"/>
      <c r="DV34" s="361"/>
      <c r="DW34" s="361"/>
      <c r="DX34" s="361"/>
      <c r="DY34" s="361"/>
      <c r="DZ34" s="361"/>
      <c r="EA34" s="361"/>
      <c r="EB34" s="361"/>
      <c r="EC34" s="361"/>
      <c r="ED34" s="361"/>
      <c r="EE34" s="361"/>
      <c r="EF34" s="361"/>
      <c r="EG34" s="361"/>
      <c r="EH34" s="361"/>
      <c r="EI34" s="361"/>
      <c r="EJ34" s="361"/>
      <c r="EK34" s="361"/>
      <c r="EL34" s="361"/>
      <c r="EM34" s="361"/>
      <c r="EN34" s="361"/>
      <c r="EO34" s="361"/>
      <c r="EP34" s="361"/>
      <c r="EQ34" s="361"/>
      <c r="ER34" s="361"/>
      <c r="ES34" s="361"/>
      <c r="ET34" s="361"/>
      <c r="EU34" s="361"/>
      <c r="EV34" s="361"/>
      <c r="EW34" s="361"/>
      <c r="EX34" s="361"/>
      <c r="EY34" s="361"/>
      <c r="EZ34" s="361"/>
      <c r="FA34" s="361"/>
      <c r="FB34" s="361"/>
      <c r="FC34" s="361"/>
      <c r="FD34" s="361"/>
      <c r="FE34" s="361"/>
      <c r="FF34" s="361"/>
      <c r="FG34" s="361"/>
      <c r="FH34" s="361"/>
      <c r="FI34" s="361"/>
      <c r="FJ34" s="361"/>
      <c r="FK34" s="361"/>
      <c r="FL34" s="361"/>
      <c r="FM34" s="361"/>
      <c r="FN34" s="361"/>
      <c r="FO34" s="361"/>
      <c r="FP34" s="361"/>
      <c r="FQ34" s="361"/>
      <c r="FR34" s="361"/>
      <c r="FS34" s="361"/>
      <c r="FT34" s="361"/>
      <c r="FU34" s="361"/>
      <c r="FV34" s="361"/>
      <c r="FW34" s="361"/>
      <c r="FX34" s="361"/>
      <c r="FY34" s="361"/>
      <c r="FZ34" s="361"/>
      <c r="GA34" s="361"/>
      <c r="GB34" s="361"/>
      <c r="GC34" s="361"/>
      <c r="GD34" s="361"/>
      <c r="GE34" s="361"/>
      <c r="GF34" s="361"/>
      <c r="GG34" s="361"/>
      <c r="GH34" s="361"/>
      <c r="GI34" s="361"/>
      <c r="GJ34" s="361"/>
      <c r="GK34" s="361"/>
      <c r="GL34" s="361"/>
      <c r="GM34" s="361"/>
      <c r="GN34" s="361"/>
      <c r="GO34" s="361"/>
      <c r="GP34" s="361"/>
      <c r="GQ34" s="361"/>
      <c r="GR34" s="361"/>
      <c r="GS34" s="361"/>
      <c r="GT34" s="361"/>
      <c r="GU34" s="361"/>
      <c r="GV34" s="361"/>
      <c r="GW34" s="361"/>
      <c r="GX34" s="361"/>
      <c r="GY34" s="361"/>
      <c r="GZ34" s="361"/>
      <c r="HA34" s="361"/>
      <c r="HB34" s="361"/>
      <c r="HC34" s="361"/>
      <c r="HD34" s="361"/>
      <c r="HE34" s="361"/>
      <c r="HF34" s="361"/>
      <c r="HG34" s="361"/>
      <c r="HH34" s="361"/>
      <c r="HI34" s="361"/>
      <c r="HJ34" s="361"/>
      <c r="HK34" s="361"/>
      <c r="HL34" s="361"/>
      <c r="HM34" s="361"/>
      <c r="HN34" s="361"/>
      <c r="HO34" s="361"/>
      <c r="HP34" s="361"/>
      <c r="HQ34" s="361"/>
      <c r="HR34" s="361"/>
      <c r="HS34" s="361"/>
      <c r="HT34" s="361"/>
      <c r="HU34" s="361"/>
      <c r="HV34" s="361"/>
      <c r="HW34" s="361"/>
      <c r="HX34" s="361"/>
      <c r="HY34" s="361"/>
      <c r="HZ34" s="361"/>
      <c r="IA34" s="361"/>
      <c r="IB34" s="361"/>
      <c r="IC34" s="361"/>
      <c r="ID34" s="361"/>
      <c r="IE34" s="361"/>
      <c r="IF34" s="361"/>
      <c r="IG34" s="361"/>
      <c r="IH34" s="361"/>
      <c r="II34" s="361"/>
      <c r="IJ34" s="361"/>
      <c r="IK34" s="361"/>
      <c r="IL34" s="361"/>
      <c r="IM34" s="361"/>
      <c r="IN34" s="361"/>
      <c r="IO34" s="361"/>
      <c r="IP34" s="361"/>
      <c r="IQ34" s="361"/>
      <c r="IR34" s="361"/>
      <c r="IS34" s="361"/>
      <c r="IT34" s="361"/>
      <c r="IU34" s="361"/>
      <c r="IV34" s="361"/>
      <c r="IW34" s="361"/>
      <c r="IX34" s="361"/>
      <c r="IY34" s="346" t="s">
        <v>72</v>
      </c>
      <c r="IZ34" s="346"/>
      <c r="JA34" s="346"/>
      <c r="JB34" s="346"/>
      <c r="JC34" s="346"/>
      <c r="JD34" s="346"/>
      <c r="JE34" s="361"/>
    </row>
    <row r="35" spans="1:267" s="175" customFormat="1" ht="21" customHeight="1" thickBot="1">
      <c r="A35" s="445"/>
      <c r="B35" s="446" t="s">
        <v>12</v>
      </c>
      <c r="C35" s="446"/>
      <c r="D35" s="446"/>
      <c r="E35" s="447">
        <f>SUM(E5:E34)</f>
        <v>2</v>
      </c>
      <c r="F35" s="448">
        <f>SUM(F5:F34)</f>
        <v>3880</v>
      </c>
      <c r="G35" s="448">
        <f>SUM(G5:G34)</f>
        <v>116.4</v>
      </c>
      <c r="H35" s="449">
        <f>SUM(H5:H34)</f>
        <v>3763.6</v>
      </c>
      <c r="I35" s="360"/>
      <c r="J35" s="360"/>
      <c r="K35" s="359"/>
      <c r="L35" s="359"/>
      <c r="M35" s="360"/>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c r="BY35" s="361"/>
      <c r="BZ35" s="361"/>
      <c r="CA35" s="361"/>
      <c r="CB35" s="361"/>
      <c r="CC35" s="361"/>
      <c r="CD35" s="361"/>
      <c r="CE35" s="361"/>
      <c r="CF35" s="361"/>
      <c r="CG35" s="361"/>
      <c r="CH35" s="361"/>
      <c r="CI35" s="361"/>
      <c r="CJ35" s="361"/>
      <c r="CK35" s="361"/>
      <c r="CL35" s="361"/>
      <c r="CM35" s="361"/>
      <c r="CN35" s="361"/>
      <c r="CO35" s="361"/>
      <c r="CP35" s="361"/>
      <c r="CQ35" s="361"/>
      <c r="CR35" s="361"/>
      <c r="CS35" s="361"/>
      <c r="CT35" s="361"/>
      <c r="CU35" s="361"/>
      <c r="CV35" s="361"/>
      <c r="CW35" s="361"/>
      <c r="CX35" s="361"/>
      <c r="CY35" s="361"/>
      <c r="CZ35" s="361"/>
      <c r="DA35" s="361"/>
      <c r="DB35" s="361"/>
      <c r="DC35" s="361"/>
      <c r="DD35" s="361"/>
      <c r="DE35" s="361"/>
      <c r="DF35" s="361"/>
      <c r="DG35" s="361"/>
      <c r="DH35" s="361"/>
      <c r="DI35" s="361"/>
      <c r="DJ35" s="361"/>
      <c r="DK35" s="361"/>
      <c r="DL35" s="361"/>
      <c r="DM35" s="361"/>
      <c r="DN35" s="361"/>
      <c r="DO35" s="361"/>
      <c r="DP35" s="361"/>
      <c r="DQ35" s="361"/>
      <c r="DR35" s="361"/>
      <c r="DS35" s="361"/>
      <c r="DT35" s="361"/>
      <c r="DU35" s="361"/>
      <c r="DV35" s="361"/>
      <c r="DW35" s="361"/>
      <c r="DX35" s="361"/>
      <c r="DY35" s="361"/>
      <c r="DZ35" s="361"/>
      <c r="EA35" s="361"/>
      <c r="EB35" s="361"/>
      <c r="EC35" s="361"/>
      <c r="ED35" s="361"/>
      <c r="EE35" s="361"/>
      <c r="EF35" s="361"/>
      <c r="EG35" s="361"/>
      <c r="EH35" s="361"/>
      <c r="EI35" s="361"/>
      <c r="EJ35" s="361"/>
      <c r="EK35" s="361"/>
      <c r="EL35" s="361"/>
      <c r="EM35" s="361"/>
      <c r="EN35" s="361"/>
      <c r="EO35" s="361"/>
      <c r="EP35" s="361"/>
      <c r="EQ35" s="361"/>
      <c r="ER35" s="361"/>
      <c r="ES35" s="361"/>
      <c r="ET35" s="361"/>
      <c r="EU35" s="361"/>
      <c r="EV35" s="361"/>
      <c r="EW35" s="361"/>
      <c r="EX35" s="361"/>
      <c r="EY35" s="361"/>
      <c r="EZ35" s="361"/>
      <c r="FA35" s="361"/>
      <c r="FB35" s="361"/>
      <c r="FC35" s="361"/>
      <c r="FD35" s="361"/>
      <c r="FE35" s="361"/>
      <c r="FF35" s="361"/>
      <c r="FG35" s="361"/>
      <c r="FH35" s="361"/>
      <c r="FI35" s="361"/>
      <c r="FJ35" s="361"/>
      <c r="FK35" s="361"/>
      <c r="FL35" s="361"/>
      <c r="FM35" s="361"/>
      <c r="FN35" s="361"/>
      <c r="FO35" s="361"/>
      <c r="FP35" s="361"/>
      <c r="FQ35" s="361"/>
      <c r="FR35" s="361"/>
      <c r="FS35" s="361"/>
      <c r="FT35" s="361"/>
      <c r="FU35" s="361"/>
      <c r="FV35" s="361"/>
      <c r="FW35" s="361"/>
      <c r="FX35" s="361"/>
      <c r="FY35" s="361"/>
      <c r="FZ35" s="361"/>
      <c r="GA35" s="361"/>
      <c r="GB35" s="361"/>
      <c r="GC35" s="361"/>
      <c r="GD35" s="361"/>
      <c r="GE35" s="361"/>
      <c r="GF35" s="361"/>
      <c r="GG35" s="361"/>
      <c r="GH35" s="361"/>
      <c r="GI35" s="361"/>
      <c r="GJ35" s="361"/>
      <c r="GK35" s="361"/>
      <c r="GL35" s="361"/>
      <c r="GM35" s="361"/>
      <c r="GN35" s="361"/>
      <c r="GO35" s="361"/>
      <c r="GP35" s="361"/>
      <c r="GQ35" s="361"/>
      <c r="GR35" s="361"/>
      <c r="GS35" s="361"/>
      <c r="GT35" s="361"/>
      <c r="GU35" s="361"/>
      <c r="GV35" s="361"/>
      <c r="GW35" s="361"/>
      <c r="GX35" s="361"/>
      <c r="GY35" s="361"/>
      <c r="GZ35" s="361"/>
      <c r="HA35" s="361"/>
      <c r="HB35" s="361"/>
      <c r="HC35" s="361"/>
      <c r="HD35" s="361"/>
      <c r="HE35" s="361"/>
      <c r="HF35" s="361"/>
      <c r="HG35" s="361"/>
      <c r="HH35" s="361"/>
      <c r="HI35" s="361"/>
      <c r="HJ35" s="361"/>
      <c r="HK35" s="361"/>
      <c r="HL35" s="361"/>
      <c r="HM35" s="361"/>
      <c r="HN35" s="361"/>
      <c r="HO35" s="361"/>
      <c r="HP35" s="361"/>
      <c r="HQ35" s="361"/>
      <c r="HR35" s="361"/>
      <c r="HS35" s="361"/>
      <c r="HT35" s="361"/>
      <c r="HU35" s="361"/>
      <c r="HV35" s="361"/>
      <c r="HW35" s="361"/>
      <c r="HX35" s="361"/>
      <c r="HY35" s="361"/>
      <c r="HZ35" s="361"/>
      <c r="IA35" s="361"/>
      <c r="IB35" s="361"/>
      <c r="IC35" s="361"/>
      <c r="ID35" s="361"/>
      <c r="IE35" s="361"/>
      <c r="IF35" s="361"/>
      <c r="IG35" s="361"/>
      <c r="IH35" s="361"/>
      <c r="II35" s="361"/>
      <c r="IJ35" s="361"/>
      <c r="IK35" s="361"/>
      <c r="IL35" s="361"/>
      <c r="IM35" s="361"/>
      <c r="IN35" s="361"/>
      <c r="IO35" s="361"/>
      <c r="IP35" s="361"/>
      <c r="IQ35" s="361"/>
      <c r="IR35" s="361"/>
      <c r="IS35" s="361"/>
      <c r="IT35" s="361"/>
      <c r="IU35" s="361"/>
      <c r="IV35" s="361"/>
      <c r="IW35" s="361"/>
      <c r="IX35" s="361"/>
      <c r="IY35" s="346" t="s">
        <v>90</v>
      </c>
      <c r="IZ35" s="346"/>
      <c r="JA35" s="346"/>
      <c r="JB35" s="346"/>
      <c r="JC35" s="346"/>
      <c r="JD35" s="346"/>
      <c r="JE35" s="361"/>
    </row>
    <row r="36" spans="1:267" s="175" customFormat="1" ht="13.95" customHeight="1" thickTop="1">
      <c r="A36" s="361"/>
      <c r="B36" s="367"/>
      <c r="C36" s="367"/>
      <c r="D36" s="367"/>
      <c r="E36" s="366"/>
      <c r="F36" s="366"/>
      <c r="G36" s="366"/>
      <c r="H36" s="366"/>
      <c r="I36" s="366"/>
      <c r="J36" s="361"/>
      <c r="K36" s="360"/>
      <c r="L36" s="360"/>
      <c r="M36" s="361"/>
      <c r="N36" s="361"/>
      <c r="IY36" s="346" t="s">
        <v>21</v>
      </c>
      <c r="IZ36" s="346"/>
      <c r="JA36" s="346"/>
      <c r="JB36" s="346"/>
      <c r="JC36" s="346"/>
      <c r="JD36" s="346"/>
      <c r="JE36" s="361"/>
    </row>
    <row r="37" spans="1:267" s="175" customFormat="1" ht="7.95" customHeight="1" thickBot="1">
      <c r="A37" s="361"/>
      <c r="B37" s="367"/>
      <c r="C37" s="367"/>
      <c r="D37" s="367"/>
      <c r="E37" s="366"/>
      <c r="F37" s="366"/>
      <c r="G37" s="366"/>
      <c r="H37" s="366"/>
      <c r="I37" s="366"/>
      <c r="J37" s="361"/>
      <c r="K37" s="360"/>
      <c r="L37" s="360"/>
      <c r="M37" s="361"/>
      <c r="N37" s="361"/>
      <c r="JE37" s="361"/>
    </row>
    <row r="38" spans="1:267" s="684" customFormat="1" ht="19.95" customHeight="1">
      <c r="A38" s="679"/>
      <c r="B38" s="680" t="s">
        <v>220</v>
      </c>
      <c r="C38" s="681"/>
      <c r="D38" s="681"/>
      <c r="E38" s="681"/>
      <c r="F38" s="681"/>
      <c r="G38" s="681"/>
      <c r="H38" s="681"/>
      <c r="I38" s="681"/>
      <c r="J38" s="681"/>
      <c r="K38" s="682"/>
      <c r="L38" s="683"/>
      <c r="M38" s="679"/>
      <c r="JD38" s="679"/>
    </row>
    <row r="39" spans="1:267" s="689" customFormat="1" ht="14.55" customHeight="1">
      <c r="A39" s="685"/>
      <c r="B39" s="686"/>
      <c r="C39" s="687"/>
      <c r="D39" s="687"/>
      <c r="E39" s="687"/>
      <c r="F39" s="687"/>
      <c r="G39" s="687"/>
      <c r="H39" s="687"/>
      <c r="I39" s="687"/>
      <c r="J39" s="687"/>
      <c r="K39" s="688"/>
      <c r="L39" s="683"/>
      <c r="M39" s="685"/>
      <c r="JD39" s="685"/>
      <c r="JG39" s="689" t="s">
        <v>221</v>
      </c>
    </row>
    <row r="40" spans="1:267" s="695" customFormat="1" ht="33.6" customHeight="1" thickBot="1">
      <c r="A40" s="690"/>
      <c r="B40" s="691" t="s">
        <v>41</v>
      </c>
      <c r="C40" s="692" t="s">
        <v>13</v>
      </c>
      <c r="D40" s="692" t="s">
        <v>35</v>
      </c>
      <c r="E40" s="693" t="s">
        <v>33</v>
      </c>
      <c r="F40" s="693" t="s">
        <v>15</v>
      </c>
      <c r="G40" s="693" t="s">
        <v>34</v>
      </c>
      <c r="H40" s="692" t="s">
        <v>32</v>
      </c>
      <c r="I40" s="692" t="s">
        <v>30</v>
      </c>
      <c r="J40" s="692" t="s">
        <v>76</v>
      </c>
      <c r="K40" s="694" t="s">
        <v>77</v>
      </c>
      <c r="L40" s="683"/>
      <c r="M40" s="690"/>
      <c r="JD40" s="690"/>
    </row>
    <row r="41" spans="1:267" ht="19.95" customHeight="1">
      <c r="A41" s="368"/>
      <c r="B41" s="452" t="s">
        <v>23</v>
      </c>
      <c r="C41" s="453" t="s">
        <v>153</v>
      </c>
      <c r="D41" s="454" t="s">
        <v>70</v>
      </c>
      <c r="E41" s="455">
        <f t="shared" ref="E41:E50" si="4">SUM(G77)</f>
        <v>2822.7</v>
      </c>
      <c r="F41" s="450">
        <v>0</v>
      </c>
      <c r="G41" s="456">
        <f t="shared" ref="G41:G53" si="5">SUM(E41-F41)</f>
        <v>2822.7</v>
      </c>
      <c r="H41" s="457">
        <v>0</v>
      </c>
      <c r="I41" s="458">
        <f>SUM(G41-H41)</f>
        <v>2822.7</v>
      </c>
      <c r="J41" s="459" t="s">
        <v>88</v>
      </c>
      <c r="K41" s="460" t="s">
        <v>81</v>
      </c>
      <c r="L41" s="622"/>
      <c r="M41" s="368"/>
      <c r="JD41" s="368"/>
    </row>
    <row r="42" spans="1:267" ht="19.95" customHeight="1">
      <c r="A42" s="368"/>
      <c r="B42" s="461"/>
      <c r="C42" s="329" t="s">
        <v>153</v>
      </c>
      <c r="D42" s="197" t="s">
        <v>71</v>
      </c>
      <c r="E42" s="222">
        <f t="shared" si="4"/>
        <v>0</v>
      </c>
      <c r="F42" s="223"/>
      <c r="G42" s="224">
        <f t="shared" si="5"/>
        <v>0</v>
      </c>
      <c r="H42" s="198">
        <v>0</v>
      </c>
      <c r="I42" s="462">
        <f>SUM(G42-H42)</f>
        <v>0</v>
      </c>
      <c r="J42" s="199" t="s">
        <v>88</v>
      </c>
      <c r="K42" s="463" t="s">
        <v>82</v>
      </c>
      <c r="L42" s="622"/>
      <c r="M42" s="368"/>
      <c r="JD42" s="368"/>
    </row>
    <row r="43" spans="1:267" ht="19.95" customHeight="1">
      <c r="A43" s="368"/>
      <c r="B43" s="461"/>
      <c r="C43" s="329" t="s">
        <v>153</v>
      </c>
      <c r="D43" s="197" t="s">
        <v>73</v>
      </c>
      <c r="E43" s="228">
        <f t="shared" si="4"/>
        <v>0</v>
      </c>
      <c r="F43" s="224">
        <v>0</v>
      </c>
      <c r="G43" s="224">
        <f t="shared" si="5"/>
        <v>0</v>
      </c>
      <c r="H43" s="194">
        <v>0</v>
      </c>
      <c r="I43" s="462">
        <f>SUM(G43-H43)</f>
        <v>0</v>
      </c>
      <c r="J43" s="199" t="s">
        <v>88</v>
      </c>
      <c r="K43" s="463" t="s">
        <v>84</v>
      </c>
      <c r="L43" s="622"/>
      <c r="M43" s="368"/>
      <c r="JD43" s="368"/>
    </row>
    <row r="44" spans="1:267" ht="19.95" customHeight="1">
      <c r="A44" s="368"/>
      <c r="B44" s="461"/>
      <c r="C44" s="345" t="s">
        <v>17</v>
      </c>
      <c r="D44" s="197" t="s">
        <v>74</v>
      </c>
      <c r="E44" s="228">
        <f t="shared" si="4"/>
        <v>0</v>
      </c>
      <c r="F44" s="224">
        <v>0</v>
      </c>
      <c r="G44" s="224">
        <f t="shared" si="5"/>
        <v>0</v>
      </c>
      <c r="H44" s="194">
        <v>0</v>
      </c>
      <c r="I44" s="462">
        <f t="shared" ref="I44:I50" si="6">SUM(G44-H44)</f>
        <v>0</v>
      </c>
      <c r="J44" s="199" t="s">
        <v>88</v>
      </c>
      <c r="K44" s="464" t="s">
        <v>161</v>
      </c>
      <c r="L44" s="622"/>
      <c r="M44" s="368"/>
      <c r="JD44" s="368"/>
    </row>
    <row r="45" spans="1:267" ht="20.399999999999999" customHeight="1">
      <c r="A45" s="368"/>
      <c r="B45" s="461"/>
      <c r="C45" s="345" t="s">
        <v>17</v>
      </c>
      <c r="D45" s="197" t="s">
        <v>75</v>
      </c>
      <c r="E45" s="228">
        <f t="shared" si="4"/>
        <v>0</v>
      </c>
      <c r="F45" s="224">
        <v>0</v>
      </c>
      <c r="G45" s="224">
        <f t="shared" si="5"/>
        <v>0</v>
      </c>
      <c r="H45" s="194">
        <v>0</v>
      </c>
      <c r="I45" s="462">
        <f t="shared" si="6"/>
        <v>0</v>
      </c>
      <c r="J45" s="199" t="s">
        <v>88</v>
      </c>
      <c r="K45" s="464" t="s">
        <v>162</v>
      </c>
      <c r="L45" s="622"/>
      <c r="M45" s="368"/>
      <c r="JD45" s="368"/>
    </row>
    <row r="46" spans="1:267" ht="19.95" customHeight="1">
      <c r="A46" s="368"/>
      <c r="B46" s="461"/>
      <c r="C46" s="345" t="s">
        <v>17</v>
      </c>
      <c r="D46" s="197" t="s">
        <v>152</v>
      </c>
      <c r="E46" s="228">
        <f t="shared" si="4"/>
        <v>0</v>
      </c>
      <c r="F46" s="224">
        <v>0</v>
      </c>
      <c r="G46" s="224">
        <f t="shared" si="5"/>
        <v>0</v>
      </c>
      <c r="H46" s="194">
        <v>0</v>
      </c>
      <c r="I46" s="462">
        <f t="shared" si="6"/>
        <v>0</v>
      </c>
      <c r="J46" s="199" t="s">
        <v>88</v>
      </c>
      <c r="K46" s="464" t="s">
        <v>163</v>
      </c>
      <c r="L46" s="622"/>
      <c r="M46" s="368"/>
      <c r="JD46" s="368"/>
    </row>
    <row r="47" spans="1:267" ht="19.95" customHeight="1">
      <c r="A47" s="368"/>
      <c r="B47" s="461"/>
      <c r="C47" s="345" t="s">
        <v>17</v>
      </c>
      <c r="D47" s="197" t="s">
        <v>130</v>
      </c>
      <c r="E47" s="228">
        <f t="shared" si="4"/>
        <v>0</v>
      </c>
      <c r="F47" s="224">
        <v>0</v>
      </c>
      <c r="G47" s="224">
        <f t="shared" si="5"/>
        <v>0</v>
      </c>
      <c r="H47" s="194">
        <v>0</v>
      </c>
      <c r="I47" s="462">
        <f t="shared" si="6"/>
        <v>0</v>
      </c>
      <c r="J47" s="199" t="s">
        <v>88</v>
      </c>
      <c r="K47" s="464" t="s">
        <v>131</v>
      </c>
      <c r="L47" s="622"/>
      <c r="M47" s="368"/>
      <c r="JD47" s="368"/>
    </row>
    <row r="48" spans="1:267" ht="19.95" customHeight="1">
      <c r="A48" s="368"/>
      <c r="B48" s="461"/>
      <c r="C48" s="345" t="s">
        <v>17</v>
      </c>
      <c r="D48" s="197" t="s">
        <v>151</v>
      </c>
      <c r="E48" s="228">
        <f t="shared" si="4"/>
        <v>0</v>
      </c>
      <c r="F48" s="224">
        <v>0</v>
      </c>
      <c r="G48" s="224">
        <f t="shared" si="5"/>
        <v>0</v>
      </c>
      <c r="H48" s="194">
        <v>0</v>
      </c>
      <c r="I48" s="462">
        <f t="shared" si="6"/>
        <v>0</v>
      </c>
      <c r="J48" s="199" t="s">
        <v>88</v>
      </c>
      <c r="K48" s="464" t="s">
        <v>164</v>
      </c>
      <c r="L48" s="622"/>
      <c r="M48" s="368"/>
      <c r="JD48" s="368"/>
    </row>
    <row r="49" spans="1:265" ht="19.95" customHeight="1">
      <c r="A49" s="368"/>
      <c r="B49" s="461"/>
      <c r="C49" s="329" t="s">
        <v>78</v>
      </c>
      <c r="D49" s="197" t="s">
        <v>72</v>
      </c>
      <c r="E49" s="228">
        <f t="shared" si="4"/>
        <v>0</v>
      </c>
      <c r="F49" s="224">
        <v>0</v>
      </c>
      <c r="G49" s="224">
        <f t="shared" si="5"/>
        <v>0</v>
      </c>
      <c r="H49" s="194">
        <v>0</v>
      </c>
      <c r="I49" s="462">
        <f t="shared" si="6"/>
        <v>0</v>
      </c>
      <c r="J49" s="199" t="s">
        <v>88</v>
      </c>
      <c r="K49" s="463" t="s">
        <v>83</v>
      </c>
      <c r="L49" s="622"/>
      <c r="M49" s="368"/>
      <c r="JD49" s="368"/>
    </row>
    <row r="50" spans="1:265" ht="19.95" customHeight="1" thickBot="1">
      <c r="A50" s="368"/>
      <c r="B50" s="461"/>
      <c r="C50" s="329" t="s">
        <v>78</v>
      </c>
      <c r="D50" s="197" t="s">
        <v>67</v>
      </c>
      <c r="E50" s="228">
        <f t="shared" si="4"/>
        <v>0</v>
      </c>
      <c r="F50" s="224">
        <v>0</v>
      </c>
      <c r="G50" s="224">
        <f t="shared" si="5"/>
        <v>0</v>
      </c>
      <c r="H50" s="194">
        <v>0</v>
      </c>
      <c r="I50" s="462">
        <f t="shared" si="6"/>
        <v>0</v>
      </c>
      <c r="J50" s="199" t="s">
        <v>88</v>
      </c>
      <c r="K50" s="463" t="s">
        <v>85</v>
      </c>
      <c r="L50" s="622"/>
      <c r="M50" s="368"/>
      <c r="JD50" s="368"/>
    </row>
    <row r="51" spans="1:265" ht="19.95" customHeight="1">
      <c r="A51" s="368"/>
      <c r="B51" s="465" t="s">
        <v>24</v>
      </c>
      <c r="C51" s="466" t="s">
        <v>212</v>
      </c>
      <c r="D51" s="454" t="s">
        <v>97</v>
      </c>
      <c r="E51" s="455">
        <f t="shared" ref="E51:E53" si="7">SUM(G91)</f>
        <v>188.18</v>
      </c>
      <c r="F51" s="456">
        <v>0</v>
      </c>
      <c r="G51" s="456">
        <f t="shared" si="5"/>
        <v>188.18</v>
      </c>
      <c r="H51" s="467">
        <v>0</v>
      </c>
      <c r="I51" s="458">
        <f>SUM(G51-H51)</f>
        <v>188.18</v>
      </c>
      <c r="J51" s="459" t="s">
        <v>88</v>
      </c>
      <c r="K51" s="468" t="s">
        <v>98</v>
      </c>
      <c r="L51" s="623"/>
      <c r="M51" s="368"/>
      <c r="JD51" s="368"/>
    </row>
    <row r="52" spans="1:265" ht="19.95" customHeight="1">
      <c r="A52" s="368"/>
      <c r="B52" s="469" t="s">
        <v>157</v>
      </c>
      <c r="C52" s="193" t="s">
        <v>153</v>
      </c>
      <c r="D52" s="197" t="s">
        <v>70</v>
      </c>
      <c r="E52" s="222">
        <f t="shared" si="7"/>
        <v>376.36</v>
      </c>
      <c r="F52" s="224">
        <v>0</v>
      </c>
      <c r="G52" s="224">
        <f t="shared" si="5"/>
        <v>376.36</v>
      </c>
      <c r="H52" s="194">
        <v>0</v>
      </c>
      <c r="I52" s="462">
        <f>SUM(G52-H52)</f>
        <v>376.36</v>
      </c>
      <c r="J52" s="199" t="s">
        <v>88</v>
      </c>
      <c r="K52" s="470" t="s">
        <v>81</v>
      </c>
      <c r="L52" s="623"/>
      <c r="M52" s="368"/>
      <c r="JD52" s="368"/>
    </row>
    <row r="53" spans="1:265" ht="19.95" customHeight="1" thickBot="1">
      <c r="A53" s="368"/>
      <c r="B53" s="479" t="s">
        <v>160</v>
      </c>
      <c r="C53" s="480" t="s">
        <v>212</v>
      </c>
      <c r="D53" s="781" t="s">
        <v>97</v>
      </c>
      <c r="E53" s="782">
        <f t="shared" si="7"/>
        <v>376.36</v>
      </c>
      <c r="F53" s="783">
        <v>0</v>
      </c>
      <c r="G53" s="783">
        <f t="shared" si="5"/>
        <v>376.36</v>
      </c>
      <c r="H53" s="784">
        <v>0</v>
      </c>
      <c r="I53" s="785">
        <f>SUM(G53-H53)</f>
        <v>376.36</v>
      </c>
      <c r="J53" s="786" t="s">
        <v>88</v>
      </c>
      <c r="K53" s="787" t="s">
        <v>98</v>
      </c>
      <c r="L53" s="623"/>
      <c r="M53" s="368"/>
      <c r="JD53" s="368"/>
    </row>
    <row r="54" spans="1:265" s="183" customFormat="1" ht="19.95" customHeight="1" thickBot="1">
      <c r="A54" s="369"/>
      <c r="B54" s="771"/>
      <c r="C54" s="772"/>
      <c r="D54" s="773"/>
      <c r="E54" s="774">
        <f>SUM(E41:E53)</f>
        <v>3763.6</v>
      </c>
      <c r="F54" s="775"/>
      <c r="G54" s="776">
        <f>SUM(G41:G53)</f>
        <v>3763.6</v>
      </c>
      <c r="H54" s="777"/>
      <c r="I54" s="778">
        <f>SUM(I41:I53)</f>
        <v>3763.6</v>
      </c>
      <c r="J54" s="779"/>
      <c r="K54" s="780"/>
      <c r="L54" s="624"/>
      <c r="M54" s="369"/>
      <c r="JD54" s="369"/>
    </row>
    <row r="55" spans="1:265" ht="16.2" thickTop="1">
      <c r="A55" s="368"/>
      <c r="B55" s="370"/>
      <c r="C55" s="370"/>
      <c r="D55" s="371"/>
      <c r="E55" s="372"/>
      <c r="F55" s="373"/>
      <c r="G55" s="373"/>
      <c r="H55" s="186"/>
      <c r="I55" s="368"/>
      <c r="J55" s="368"/>
      <c r="K55" s="368"/>
      <c r="L55" s="368"/>
      <c r="M55" s="368"/>
      <c r="N55" s="368"/>
      <c r="JE55" s="368"/>
    </row>
    <row r="56" spans="1:265" ht="15.6">
      <c r="A56" s="368"/>
      <c r="B56" s="370"/>
      <c r="C56" s="370"/>
      <c r="D56" s="371"/>
      <c r="E56" s="372"/>
      <c r="F56" s="373"/>
      <c r="G56" s="373"/>
      <c r="H56" s="373"/>
      <c r="I56" s="373"/>
      <c r="J56" s="368"/>
      <c r="K56" s="368"/>
      <c r="L56" s="368"/>
      <c r="M56" s="368"/>
      <c r="N56" s="368"/>
      <c r="JE56" s="368"/>
    </row>
    <row r="57" spans="1:265" s="175" customFormat="1" ht="14.55" customHeight="1">
      <c r="A57" s="361"/>
      <c r="B57" s="361"/>
      <c r="C57" s="361"/>
      <c r="D57" s="361"/>
      <c r="E57" s="374"/>
      <c r="F57" s="374"/>
      <c r="G57" s="374"/>
      <c r="H57" s="374"/>
      <c r="I57" s="368"/>
      <c r="J57" s="368"/>
      <c r="K57" s="368"/>
      <c r="L57" s="368"/>
      <c r="M57" s="368"/>
      <c r="N57" s="368"/>
      <c r="JE57" s="361"/>
    </row>
    <row r="58" spans="1:265" ht="13.8">
      <c r="A58" s="368"/>
      <c r="B58" s="368"/>
      <c r="C58" s="368"/>
      <c r="D58" s="368"/>
      <c r="E58" s="186"/>
      <c r="F58" s="186"/>
      <c r="G58" s="186"/>
      <c r="H58" s="186"/>
      <c r="I58" s="368"/>
      <c r="J58" s="368"/>
      <c r="K58" s="368"/>
      <c r="L58" s="368"/>
      <c r="M58" s="368"/>
      <c r="N58" s="368"/>
      <c r="JE58" s="368"/>
    </row>
    <row r="59" spans="1:265" ht="13.8">
      <c r="A59" s="368"/>
      <c r="B59" s="368"/>
      <c r="C59" s="368"/>
      <c r="D59" s="368"/>
      <c r="E59" s="186"/>
      <c r="F59" s="186"/>
      <c r="G59" s="186"/>
      <c r="H59" s="186"/>
      <c r="I59" s="368"/>
      <c r="J59" s="368"/>
      <c r="K59" s="368"/>
      <c r="L59" s="368"/>
      <c r="M59" s="368"/>
      <c r="N59" s="368"/>
      <c r="JE59" s="368"/>
    </row>
    <row r="60" spans="1:265" ht="13.8">
      <c r="A60" s="368"/>
      <c r="B60" s="368"/>
      <c r="C60" s="368"/>
      <c r="D60" s="368"/>
      <c r="E60" s="186"/>
      <c r="F60" s="186"/>
      <c r="G60" s="186"/>
      <c r="H60" s="186"/>
      <c r="I60" s="368"/>
      <c r="J60" s="368"/>
      <c r="K60" s="368"/>
      <c r="L60" s="368"/>
      <c r="M60" s="368"/>
      <c r="N60" s="368"/>
      <c r="JE60" s="368"/>
    </row>
    <row r="61" spans="1:265" ht="13.8">
      <c r="A61" s="368"/>
      <c r="B61" s="368"/>
      <c r="C61" s="368"/>
      <c r="D61" s="368"/>
      <c r="E61" s="186"/>
      <c r="F61" s="186"/>
      <c r="G61" s="186"/>
      <c r="H61" s="186"/>
      <c r="I61" s="368"/>
      <c r="J61" s="368"/>
      <c r="K61" s="368"/>
      <c r="L61" s="368"/>
      <c r="M61" s="368"/>
      <c r="N61" s="368"/>
      <c r="JE61" s="368"/>
    </row>
    <row r="62" spans="1:265" ht="13.8">
      <c r="A62" s="368"/>
      <c r="B62" s="368"/>
      <c r="C62" s="368"/>
      <c r="D62" s="368"/>
      <c r="E62" s="186"/>
      <c r="F62" s="186"/>
      <c r="G62" s="186"/>
      <c r="H62" s="186"/>
      <c r="I62" s="368"/>
      <c r="J62" s="368"/>
      <c r="K62" s="368"/>
      <c r="L62" s="368"/>
      <c r="M62" s="368"/>
      <c r="N62" s="368"/>
      <c r="JE62" s="368"/>
    </row>
    <row r="63" spans="1:265" ht="13.8">
      <c r="A63" s="368"/>
      <c r="B63" s="368"/>
      <c r="C63" s="368"/>
      <c r="D63" s="368"/>
      <c r="E63" s="186"/>
      <c r="F63" s="186"/>
      <c r="G63" s="186"/>
      <c r="H63" s="186"/>
      <c r="I63" s="368"/>
      <c r="J63" s="368"/>
      <c r="K63" s="368"/>
      <c r="L63" s="368"/>
      <c r="M63" s="368"/>
      <c r="N63" s="368"/>
      <c r="JE63" s="368"/>
    </row>
    <row r="64" spans="1:265" ht="13.8">
      <c r="A64" s="368"/>
      <c r="B64" s="368"/>
      <c r="C64" s="368"/>
      <c r="D64" s="368"/>
      <c r="E64" s="186"/>
      <c r="F64" s="186"/>
      <c r="G64" s="186"/>
      <c r="H64" s="186"/>
      <c r="I64" s="368"/>
      <c r="J64" s="368"/>
      <c r="K64" s="368"/>
      <c r="L64" s="368"/>
      <c r="M64" s="368"/>
      <c r="N64" s="368"/>
      <c r="JE64" s="368"/>
    </row>
    <row r="65" spans="1:265" ht="13.8">
      <c r="A65" s="368"/>
      <c r="B65" s="368"/>
      <c r="C65" s="368"/>
      <c r="D65" s="368"/>
      <c r="E65" s="186"/>
      <c r="F65" s="186"/>
      <c r="G65" s="186"/>
      <c r="H65" s="186"/>
      <c r="I65" s="368"/>
      <c r="J65" s="368"/>
      <c r="K65" s="368"/>
      <c r="L65" s="368"/>
      <c r="M65" s="368"/>
      <c r="N65" s="368"/>
      <c r="JE65" s="368"/>
    </row>
    <row r="66" spans="1:265" ht="13.8">
      <c r="A66" s="368"/>
      <c r="B66" s="368"/>
      <c r="C66" s="368"/>
      <c r="D66" s="368"/>
      <c r="E66" s="186"/>
      <c r="F66" s="186"/>
      <c r="G66" s="186"/>
      <c r="H66" s="186"/>
      <c r="I66" s="368"/>
      <c r="J66" s="368"/>
      <c r="K66" s="368"/>
      <c r="L66" s="368"/>
      <c r="M66" s="368"/>
      <c r="N66" s="368"/>
      <c r="JE66" s="368"/>
    </row>
    <row r="67" spans="1:265" ht="13.8">
      <c r="A67" s="368"/>
      <c r="B67" s="368"/>
      <c r="C67" s="368"/>
      <c r="D67" s="368"/>
      <c r="E67" s="186"/>
      <c r="F67" s="186"/>
      <c r="G67" s="186"/>
      <c r="H67" s="186"/>
      <c r="I67" s="368"/>
      <c r="J67" s="368"/>
      <c r="K67" s="368"/>
      <c r="L67" s="368"/>
      <c r="M67" s="368"/>
      <c r="N67" s="368"/>
      <c r="JE67" s="368"/>
    </row>
    <row r="68" spans="1:265" ht="13.8">
      <c r="A68" s="368"/>
      <c r="B68" s="368"/>
      <c r="C68" s="368"/>
      <c r="D68" s="368"/>
      <c r="E68" s="186"/>
      <c r="F68" s="186"/>
      <c r="G68" s="186"/>
      <c r="H68" s="186"/>
      <c r="I68" s="368"/>
      <c r="J68" s="368"/>
      <c r="K68" s="368"/>
      <c r="L68" s="368"/>
      <c r="M68" s="368"/>
      <c r="N68" s="368"/>
      <c r="JE68" s="368"/>
    </row>
    <row r="69" spans="1:265" ht="13.8">
      <c r="A69" s="368"/>
      <c r="B69" s="368"/>
      <c r="C69" s="368"/>
      <c r="D69" s="368"/>
      <c r="E69" s="186"/>
      <c r="F69" s="186"/>
      <c r="G69" s="186"/>
      <c r="H69" s="186"/>
      <c r="I69" s="368"/>
      <c r="J69" s="368"/>
      <c r="K69" s="368"/>
      <c r="L69" s="368"/>
      <c r="M69" s="368"/>
      <c r="N69" s="368"/>
      <c r="JE69" s="368"/>
    </row>
    <row r="70" spans="1:265" ht="13.8">
      <c r="A70" s="368"/>
      <c r="B70" s="368"/>
      <c r="C70" s="368"/>
      <c r="D70" s="368"/>
      <c r="E70" s="186"/>
      <c r="F70" s="186"/>
      <c r="G70" s="186"/>
      <c r="H70" s="186"/>
      <c r="I70" s="368"/>
      <c r="J70" s="368"/>
      <c r="K70" s="368"/>
      <c r="L70" s="368"/>
      <c r="M70" s="368"/>
      <c r="N70" s="368"/>
      <c r="JE70" s="368"/>
    </row>
    <row r="71" spans="1:265" ht="13.8">
      <c r="A71" s="368"/>
      <c r="B71" s="368"/>
      <c r="C71" s="368"/>
      <c r="D71" s="368"/>
      <c r="E71" s="186"/>
      <c r="F71" s="186"/>
      <c r="G71" s="186"/>
      <c r="H71" s="186"/>
      <c r="I71" s="368"/>
      <c r="J71" s="368"/>
      <c r="K71" s="368"/>
      <c r="L71" s="368"/>
      <c r="M71" s="368"/>
      <c r="N71" s="368"/>
      <c r="JE71" s="368"/>
    </row>
    <row r="72" spans="1:265" ht="13.8">
      <c r="A72" s="368"/>
      <c r="B72" s="368"/>
      <c r="C72" s="368"/>
      <c r="D72" s="368"/>
      <c r="E72" s="186"/>
      <c r="F72" s="186"/>
      <c r="G72" s="186"/>
      <c r="H72" s="186"/>
      <c r="I72" s="368"/>
      <c r="J72" s="368"/>
      <c r="K72" s="368"/>
      <c r="L72" s="368"/>
      <c r="M72" s="368"/>
      <c r="N72" s="368"/>
      <c r="JE72" s="368"/>
    </row>
    <row r="73" spans="1:265" ht="13.8" hidden="1">
      <c r="A73" s="368"/>
      <c r="B73" s="368"/>
      <c r="C73" s="368"/>
      <c r="D73" s="368"/>
      <c r="E73" s="186"/>
      <c r="F73" s="186"/>
      <c r="G73" s="186"/>
      <c r="H73" s="186"/>
      <c r="I73" s="368"/>
      <c r="J73" s="368"/>
      <c r="K73" s="368"/>
      <c r="L73" s="368"/>
      <c r="M73" s="368"/>
      <c r="N73" s="368"/>
      <c r="JE73" s="368"/>
    </row>
    <row r="74" spans="1:265" ht="13.2" hidden="1" customHeight="1" thickBot="1">
      <c r="A74" s="368"/>
      <c r="B74" s="368"/>
      <c r="C74" s="368"/>
      <c r="D74" s="368"/>
      <c r="E74" s="186"/>
      <c r="F74" s="186"/>
      <c r="G74" s="186"/>
      <c r="H74" s="186"/>
      <c r="I74" s="368"/>
      <c r="J74" s="368"/>
      <c r="K74" s="368"/>
      <c r="L74" s="368"/>
      <c r="M74" s="368"/>
      <c r="N74" s="368"/>
      <c r="JE74" s="368"/>
    </row>
    <row r="75" spans="1:265" ht="19.95" hidden="1" customHeight="1">
      <c r="A75" s="368"/>
      <c r="B75" s="495" t="s">
        <v>80</v>
      </c>
      <c r="C75" s="496"/>
      <c r="D75" s="496"/>
      <c r="E75" s="496"/>
      <c r="F75" s="496"/>
      <c r="G75" s="497"/>
      <c r="H75" s="375"/>
      <c r="I75" s="376" t="s">
        <v>158</v>
      </c>
      <c r="J75" s="368"/>
      <c r="K75" s="368"/>
      <c r="L75" s="368"/>
      <c r="M75" s="368"/>
      <c r="N75" s="368"/>
      <c r="JE75" s="368"/>
    </row>
    <row r="76" spans="1:265" ht="22.2" hidden="1" customHeight="1" thickBot="1">
      <c r="A76" s="368"/>
      <c r="B76" s="498" t="s">
        <v>41</v>
      </c>
      <c r="C76" s="499" t="s">
        <v>13</v>
      </c>
      <c r="D76" s="499" t="s">
        <v>14</v>
      </c>
      <c r="E76" s="500" t="s">
        <v>22</v>
      </c>
      <c r="F76" s="500" t="s">
        <v>15</v>
      </c>
      <c r="G76" s="501" t="s">
        <v>16</v>
      </c>
      <c r="H76" s="375"/>
      <c r="I76" s="375"/>
      <c r="J76" s="368"/>
      <c r="K76" s="368"/>
      <c r="L76" s="368"/>
      <c r="M76" s="368"/>
      <c r="N76" s="368"/>
      <c r="JE76" s="368"/>
    </row>
    <row r="77" spans="1:265" ht="22.2" hidden="1" customHeight="1">
      <c r="A77" s="368"/>
      <c r="B77" s="490" t="s">
        <v>23</v>
      </c>
      <c r="C77" s="491" t="s">
        <v>153</v>
      </c>
      <c r="D77" s="473" t="s">
        <v>70</v>
      </c>
      <c r="E77" s="472">
        <v>0.75</v>
      </c>
      <c r="F77" s="474">
        <v>0</v>
      </c>
      <c r="G77" s="475">
        <f>SUMIF($C4:$C35,"คุณนิมิต จุ้ยอยู่ทอง",$H4:$H35)*E77</f>
        <v>2822.7</v>
      </c>
      <c r="H77" s="377"/>
      <c r="I77" s="375"/>
      <c r="J77" s="368"/>
      <c r="K77" s="368"/>
      <c r="L77" s="368"/>
      <c r="M77" s="368"/>
      <c r="N77" s="368"/>
      <c r="JE77" s="368"/>
    </row>
    <row r="78" spans="1:265" ht="22.2" hidden="1" customHeight="1">
      <c r="A78" s="368"/>
      <c r="B78" s="492"/>
      <c r="C78" s="484" t="s">
        <v>153</v>
      </c>
      <c r="D78" s="378" t="s">
        <v>71</v>
      </c>
      <c r="E78" s="379">
        <v>0.75</v>
      </c>
      <c r="F78" s="477">
        <v>0</v>
      </c>
      <c r="G78" s="478">
        <f>SUMIF($C5:$C36,"คุณธวัช มีแสง",$H5:$H36)*E78</f>
        <v>0</v>
      </c>
      <c r="H78" s="377"/>
      <c r="I78" s="375"/>
      <c r="J78" s="368"/>
      <c r="K78" s="368"/>
      <c r="L78" s="368"/>
      <c r="M78" s="368"/>
      <c r="N78" s="368"/>
      <c r="JE78" s="368"/>
    </row>
    <row r="79" spans="1:265" ht="22.2" hidden="1" customHeight="1">
      <c r="A79" s="368"/>
      <c r="B79" s="492"/>
      <c r="C79" s="484" t="s">
        <v>153</v>
      </c>
      <c r="D79" s="378" t="s">
        <v>73</v>
      </c>
      <c r="E79" s="379">
        <v>0.75</v>
      </c>
      <c r="F79" s="477">
        <v>0</v>
      </c>
      <c r="G79" s="478">
        <f>SUMIF($C5:$C35,"คุณนิยนต์ อยู่ทะเล",$H5:$H35)*E79</f>
        <v>0</v>
      </c>
      <c r="H79" s="377"/>
      <c r="I79" s="375"/>
      <c r="J79" s="368"/>
      <c r="K79" s="368"/>
      <c r="L79" s="368"/>
      <c r="M79" s="368"/>
      <c r="N79" s="368"/>
      <c r="JE79" s="368"/>
    </row>
    <row r="80" spans="1:265" ht="22.2" hidden="1" customHeight="1">
      <c r="A80" s="368"/>
      <c r="B80" s="492"/>
      <c r="C80" s="484" t="s">
        <v>17</v>
      </c>
      <c r="D80" s="378" t="s">
        <v>74</v>
      </c>
      <c r="E80" s="379">
        <v>0.75</v>
      </c>
      <c r="F80" s="477">
        <v>0</v>
      </c>
      <c r="G80" s="478">
        <f>SUMIF($C5:$C35,"คุณจินตนา อ้อยหวาน",$H5:$H35)*E80</f>
        <v>0</v>
      </c>
      <c r="H80" s="377"/>
      <c r="I80" s="375"/>
      <c r="J80" s="368"/>
      <c r="K80" s="368"/>
      <c r="L80" s="368"/>
      <c r="M80" s="368"/>
      <c r="N80" s="368"/>
      <c r="JE80" s="368"/>
    </row>
    <row r="81" spans="1:265" ht="22.2" hidden="1" customHeight="1">
      <c r="A81" s="368"/>
      <c r="B81" s="492"/>
      <c r="C81" s="484" t="s">
        <v>17</v>
      </c>
      <c r="D81" s="378" t="s">
        <v>75</v>
      </c>
      <c r="E81" s="379">
        <v>0.75</v>
      </c>
      <c r="F81" s="477">
        <v>0</v>
      </c>
      <c r="G81" s="478">
        <f>SUMIF($C5:$C35,"คุณพัชรพรรณ พึ่งพา",$H5:$H35)*E81</f>
        <v>0</v>
      </c>
      <c r="H81" s="377"/>
      <c r="I81" s="375"/>
      <c r="J81" s="368"/>
      <c r="K81" s="368"/>
      <c r="L81" s="368"/>
      <c r="M81" s="368"/>
      <c r="N81" s="368"/>
      <c r="JE81" s="368"/>
    </row>
    <row r="82" spans="1:265" ht="22.2" hidden="1" customHeight="1">
      <c r="A82" s="368"/>
      <c r="B82" s="492"/>
      <c r="C82" s="484" t="s">
        <v>17</v>
      </c>
      <c r="D82" s="378" t="s">
        <v>152</v>
      </c>
      <c r="E82" s="379">
        <v>0.75</v>
      </c>
      <c r="F82" s="477">
        <v>0</v>
      </c>
      <c r="G82" s="478">
        <f>SUMIF($C5:$C37,"คุณนรินทร์ ปิงมูล",$H5:$H40)*E82</f>
        <v>0</v>
      </c>
      <c r="H82" s="377"/>
      <c r="I82" s="375"/>
      <c r="J82" s="368"/>
      <c r="K82" s="368"/>
      <c r="L82" s="368"/>
      <c r="M82" s="368"/>
      <c r="N82" s="368"/>
      <c r="P82" s="344" t="s">
        <v>159</v>
      </c>
      <c r="JE82" s="368"/>
    </row>
    <row r="83" spans="1:265" ht="22.2" hidden="1" customHeight="1">
      <c r="A83" s="368"/>
      <c r="B83" s="492"/>
      <c r="C83" s="484" t="s">
        <v>17</v>
      </c>
      <c r="D83" s="378" t="s">
        <v>130</v>
      </c>
      <c r="E83" s="379">
        <v>0.75</v>
      </c>
      <c r="F83" s="477">
        <v>0</v>
      </c>
      <c r="G83" s="478">
        <f>SUMIF($C5:$C35,"คุณชนัฐฎา สนคะมี",$H5:$H35)*E83</f>
        <v>0</v>
      </c>
      <c r="H83" s="377"/>
      <c r="I83" s="375"/>
      <c r="J83" s="368"/>
      <c r="K83" s="368"/>
      <c r="L83" s="368"/>
      <c r="M83" s="368"/>
      <c r="N83" s="368"/>
      <c r="JE83" s="368"/>
    </row>
    <row r="84" spans="1:265" ht="22.2" hidden="1" customHeight="1">
      <c r="A84" s="368"/>
      <c r="B84" s="492"/>
      <c r="C84" s="484" t="s">
        <v>17</v>
      </c>
      <c r="D84" s="378" t="s">
        <v>151</v>
      </c>
      <c r="E84" s="379">
        <v>0.75</v>
      </c>
      <c r="F84" s="477">
        <v>0</v>
      </c>
      <c r="G84" s="478">
        <f>SUMIF($C6:$C36,"คุณจิรภิญญา เป็นปึก",$H6:$H36)*E84</f>
        <v>0</v>
      </c>
      <c r="H84" s="377"/>
      <c r="I84" s="375"/>
      <c r="J84" s="368"/>
      <c r="K84" s="368"/>
      <c r="L84" s="368"/>
      <c r="M84" s="368"/>
      <c r="N84" s="368"/>
      <c r="P84" s="343" t="s">
        <v>159</v>
      </c>
      <c r="JE84" s="368"/>
    </row>
    <row r="85" spans="1:265" ht="22.2" hidden="1" customHeight="1">
      <c r="A85" s="368"/>
      <c r="B85" s="492"/>
      <c r="C85" s="484" t="s">
        <v>78</v>
      </c>
      <c r="D85" s="378" t="s">
        <v>72</v>
      </c>
      <c r="E85" s="379">
        <v>0.75</v>
      </c>
      <c r="F85" s="477">
        <v>0</v>
      </c>
      <c r="G85" s="478">
        <f>SUMIF($C5:$C35,"คุณแดง มูลสองแคว",$H5:$H35)*E85</f>
        <v>0</v>
      </c>
      <c r="H85" s="377"/>
      <c r="I85" s="375"/>
      <c r="J85" s="368"/>
      <c r="K85" s="368"/>
      <c r="L85" s="368"/>
      <c r="M85" s="368"/>
      <c r="N85" s="368"/>
      <c r="JE85" s="368"/>
    </row>
    <row r="86" spans="1:265" ht="22.2" hidden="1" customHeight="1">
      <c r="A86" s="368"/>
      <c r="B86" s="492"/>
      <c r="C86" s="484" t="s">
        <v>78</v>
      </c>
      <c r="D86" s="378" t="s">
        <v>67</v>
      </c>
      <c r="E86" s="379">
        <v>0.75</v>
      </c>
      <c r="F86" s="477">
        <v>0</v>
      </c>
      <c r="G86" s="478">
        <f>SUMIF($C6:$C36,"คุณรุ่งอรุณ อินบุญรอด",$H6:$H36)*E86</f>
        <v>0</v>
      </c>
      <c r="H86" s="377"/>
      <c r="I86" s="375"/>
      <c r="J86" s="368"/>
      <c r="K86" s="368"/>
      <c r="L86" s="368"/>
      <c r="M86" s="368"/>
      <c r="N86" s="368"/>
      <c r="JE86" s="368"/>
    </row>
    <row r="87" spans="1:265" ht="22.2" hidden="1" customHeight="1">
      <c r="A87" s="368"/>
      <c r="B87" s="492"/>
      <c r="C87" s="484" t="s">
        <v>78</v>
      </c>
      <c r="D87" s="378" t="s">
        <v>68</v>
      </c>
      <c r="E87" s="379">
        <v>0.75</v>
      </c>
      <c r="F87" s="477">
        <v>0</v>
      </c>
      <c r="G87" s="478">
        <f>SUMIF($C7:$C37,"คุณศศินาถ จุ้ยอยู่ทอง",$H7:$H37)*E87</f>
        <v>0</v>
      </c>
      <c r="H87" s="377"/>
      <c r="I87" s="375"/>
      <c r="J87" s="368"/>
      <c r="K87" s="368"/>
      <c r="L87" s="368"/>
      <c r="M87" s="368"/>
      <c r="N87" s="368"/>
      <c r="JE87" s="368"/>
    </row>
    <row r="88" spans="1:265" ht="22.2" hidden="1" customHeight="1">
      <c r="A88" s="368"/>
      <c r="B88" s="492"/>
      <c r="C88" s="484" t="s">
        <v>78</v>
      </c>
      <c r="D88" s="378" t="s">
        <v>90</v>
      </c>
      <c r="E88" s="379">
        <v>0.75</v>
      </c>
      <c r="F88" s="477">
        <v>0</v>
      </c>
      <c r="G88" s="478">
        <f>SUMIF($C8:$C38,"คุณณรงศ์ศักย์ เหล่ารัตนเวช",$H8:$H38)*E88</f>
        <v>0</v>
      </c>
      <c r="H88" s="377"/>
      <c r="I88" s="375"/>
      <c r="J88" s="368"/>
      <c r="K88" s="368"/>
      <c r="L88" s="368"/>
      <c r="M88" s="368"/>
      <c r="N88" s="368"/>
      <c r="JE88" s="368"/>
    </row>
    <row r="89" spans="1:265" ht="22.2" hidden="1" customHeight="1">
      <c r="A89" s="368"/>
      <c r="B89" s="492"/>
      <c r="C89" s="484" t="s">
        <v>78</v>
      </c>
      <c r="D89" s="378" t="s">
        <v>69</v>
      </c>
      <c r="E89" s="379">
        <v>0.75</v>
      </c>
      <c r="F89" s="477">
        <v>0</v>
      </c>
      <c r="G89" s="478">
        <f>SUMIF($C9:$C39,"คุณธัญลักษณ์ หมื่นหลุบกุง",$H9:$H39)*E89</f>
        <v>0</v>
      </c>
      <c r="H89" s="377"/>
      <c r="I89" s="375"/>
      <c r="J89" s="368"/>
      <c r="K89" s="368"/>
      <c r="L89" s="368"/>
      <c r="M89" s="368"/>
      <c r="N89" s="368"/>
      <c r="JE89" s="368"/>
    </row>
    <row r="90" spans="1:265" ht="22.2" hidden="1" customHeight="1" thickBot="1">
      <c r="A90" s="368"/>
      <c r="B90" s="493"/>
      <c r="C90" s="494" t="s">
        <v>18</v>
      </c>
      <c r="D90" s="481" t="s">
        <v>21</v>
      </c>
      <c r="E90" s="480">
        <v>0.6</v>
      </c>
      <c r="F90" s="482">
        <v>0</v>
      </c>
      <c r="G90" s="483">
        <f>SUMIF($C10:$C40,"คุณจันทราภรณ์ สุภาพวนิช",$H10:$H40)*E90</f>
        <v>0</v>
      </c>
      <c r="H90" s="377"/>
      <c r="I90" s="375"/>
      <c r="J90" s="368"/>
      <c r="K90" s="368"/>
      <c r="L90" s="368"/>
      <c r="M90" s="368"/>
      <c r="N90" s="368"/>
      <c r="JE90" s="368"/>
    </row>
    <row r="91" spans="1:265" ht="22.2" hidden="1" customHeight="1">
      <c r="A91" s="368"/>
      <c r="B91" s="485" t="s">
        <v>24</v>
      </c>
      <c r="C91" s="486" t="s">
        <v>61</v>
      </c>
      <c r="D91" s="487" t="s">
        <v>97</v>
      </c>
      <c r="E91" s="486">
        <v>0.05</v>
      </c>
      <c r="F91" s="488">
        <v>0</v>
      </c>
      <c r="G91" s="489">
        <f>$H$35*E91</f>
        <v>188.18</v>
      </c>
      <c r="H91" s="375"/>
      <c r="I91" s="375"/>
      <c r="J91" s="368"/>
      <c r="K91" s="368"/>
      <c r="L91" s="368"/>
      <c r="M91" s="368"/>
      <c r="N91" s="368"/>
      <c r="JE91" s="368"/>
    </row>
    <row r="92" spans="1:265" ht="22.2" hidden="1" customHeight="1">
      <c r="A92" s="368"/>
      <c r="B92" s="476" t="s">
        <v>157</v>
      </c>
      <c r="C92" s="379" t="s">
        <v>153</v>
      </c>
      <c r="D92" s="378" t="s">
        <v>70</v>
      </c>
      <c r="E92" s="379">
        <v>0.1</v>
      </c>
      <c r="F92" s="477">
        <v>0</v>
      </c>
      <c r="G92" s="478">
        <f>$H$35*E92</f>
        <v>376.36</v>
      </c>
      <c r="H92" s="375"/>
      <c r="I92" s="375"/>
      <c r="J92" s="368"/>
      <c r="K92" s="368"/>
      <c r="L92" s="368"/>
      <c r="M92" s="368"/>
      <c r="N92" s="368"/>
      <c r="JE92" s="368"/>
    </row>
    <row r="93" spans="1:265" ht="22.2" hidden="1" customHeight="1" thickBot="1">
      <c r="A93" s="368"/>
      <c r="B93" s="479" t="s">
        <v>160</v>
      </c>
      <c r="C93" s="480" t="s">
        <v>212</v>
      </c>
      <c r="D93" s="481" t="s">
        <v>97</v>
      </c>
      <c r="E93" s="480">
        <v>0.1</v>
      </c>
      <c r="F93" s="482">
        <v>0</v>
      </c>
      <c r="G93" s="483">
        <f>$H$35*E93</f>
        <v>376.36</v>
      </c>
      <c r="H93" s="375"/>
      <c r="I93" s="375"/>
      <c r="J93" s="368"/>
      <c r="K93" s="368"/>
      <c r="L93" s="368"/>
      <c r="M93" s="368"/>
      <c r="N93" s="368"/>
      <c r="JE93" s="368"/>
    </row>
    <row r="94" spans="1:265" ht="18.600000000000001" hidden="1" customHeight="1" thickBot="1">
      <c r="A94" s="368"/>
      <c r="B94" s="370"/>
      <c r="C94" s="370"/>
      <c r="D94" s="371"/>
      <c r="E94" s="372"/>
      <c r="F94" s="373"/>
      <c r="G94" s="471">
        <f>SUM(G77:G93)</f>
        <v>3763.6</v>
      </c>
      <c r="H94" s="375"/>
      <c r="I94" s="368"/>
      <c r="J94" s="368"/>
      <c r="K94" s="368"/>
      <c r="L94" s="368"/>
      <c r="M94" s="368"/>
      <c r="N94" s="368"/>
      <c r="JE94" s="368"/>
    </row>
    <row r="95" spans="1:265" ht="13.8" hidden="1">
      <c r="A95" s="368"/>
      <c r="B95" s="368"/>
      <c r="C95" s="368"/>
      <c r="D95" s="368"/>
      <c r="E95" s="186"/>
      <c r="F95" s="186"/>
      <c r="G95" s="186"/>
      <c r="H95" s="375"/>
      <c r="I95" s="186"/>
      <c r="J95" s="368"/>
      <c r="K95" s="368"/>
      <c r="L95" s="368"/>
      <c r="M95" s="368"/>
      <c r="N95" s="368"/>
      <c r="JE95" s="368"/>
    </row>
    <row r="96" spans="1:265" ht="13.8">
      <c r="A96" s="368"/>
      <c r="B96" s="368"/>
      <c r="C96" s="368"/>
      <c r="D96" s="368"/>
      <c r="E96" s="186"/>
      <c r="F96" s="186"/>
      <c r="G96" s="186"/>
      <c r="H96" s="375"/>
      <c r="I96" s="186"/>
      <c r="J96" s="368"/>
      <c r="K96" s="368"/>
      <c r="L96" s="368"/>
      <c r="M96" s="368"/>
      <c r="N96" s="368"/>
      <c r="JE96" s="368"/>
    </row>
    <row r="97" spans="1:265" ht="13.8">
      <c r="A97" s="368"/>
      <c r="B97" s="368"/>
      <c r="C97" s="368"/>
      <c r="D97" s="368"/>
      <c r="E97" s="186"/>
      <c r="F97" s="186"/>
      <c r="G97" s="186"/>
      <c r="H97" s="375"/>
      <c r="I97" s="186"/>
      <c r="J97" s="368"/>
      <c r="K97" s="368"/>
      <c r="L97" s="368"/>
      <c r="M97" s="368"/>
      <c r="N97" s="368"/>
      <c r="JE97" s="368"/>
    </row>
    <row r="98" spans="1:265" ht="13.8">
      <c r="E98" s="188"/>
      <c r="F98" s="188"/>
      <c r="G98" s="188"/>
      <c r="H98" s="87"/>
      <c r="I98" s="188"/>
      <c r="JE98" s="368"/>
    </row>
    <row r="99" spans="1:265" ht="13.8">
      <c r="E99" s="188"/>
      <c r="F99" s="188"/>
      <c r="G99" s="188"/>
      <c r="H99" s="188"/>
      <c r="I99" s="188"/>
      <c r="JE99" s="368"/>
    </row>
    <row r="100" spans="1:265" ht="13.8">
      <c r="E100" s="188"/>
      <c r="F100" s="188"/>
      <c r="G100" s="188"/>
      <c r="H100" s="188"/>
      <c r="I100" s="188"/>
      <c r="JE100" s="368"/>
    </row>
    <row r="101" spans="1:265" ht="13.8">
      <c r="E101" s="188"/>
      <c r="F101" s="188"/>
      <c r="G101" s="188"/>
      <c r="H101" s="188"/>
      <c r="I101" s="188"/>
      <c r="JE101" s="368"/>
    </row>
    <row r="102" spans="1:265" ht="13.8">
      <c r="E102" s="188"/>
      <c r="F102" s="188"/>
      <c r="G102" s="188"/>
      <c r="H102" s="188"/>
      <c r="I102" s="188"/>
      <c r="JE102" s="368"/>
    </row>
    <row r="103" spans="1:265" ht="13.8">
      <c r="E103" s="188"/>
      <c r="F103" s="188"/>
      <c r="G103" s="188"/>
      <c r="H103" s="188"/>
      <c r="I103" s="188"/>
      <c r="JE103" s="368"/>
    </row>
    <row r="104" spans="1:265" ht="13.8">
      <c r="E104" s="188"/>
      <c r="F104" s="188"/>
      <c r="G104" s="188"/>
      <c r="H104" s="188"/>
      <c r="I104" s="188"/>
      <c r="JE104" s="368"/>
    </row>
    <row r="105" spans="1:265" ht="13.8">
      <c r="E105" s="188"/>
      <c r="F105" s="188"/>
      <c r="G105" s="188"/>
      <c r="H105" s="188"/>
      <c r="I105" s="188"/>
      <c r="JE105" s="368"/>
    </row>
    <row r="106" spans="1:265" ht="13.8">
      <c r="E106" s="188"/>
      <c r="F106" s="188"/>
      <c r="G106" s="188"/>
      <c r="H106" s="188"/>
      <c r="I106" s="188"/>
      <c r="JE106" s="368"/>
    </row>
    <row r="107" spans="1:265" ht="13.8">
      <c r="E107" s="188"/>
      <c r="F107" s="188"/>
      <c r="G107" s="188"/>
      <c r="H107" s="188"/>
      <c r="I107" s="188"/>
      <c r="JE107" s="368"/>
    </row>
    <row r="108" spans="1:265" ht="13.95" customHeight="1">
      <c r="E108" s="188"/>
      <c r="F108" s="188"/>
      <c r="G108" s="188"/>
      <c r="H108" s="188"/>
      <c r="I108" s="188"/>
      <c r="JE108" s="368"/>
    </row>
    <row r="109" spans="1:265" ht="13.95" customHeight="1">
      <c r="E109" s="188"/>
      <c r="F109" s="188"/>
      <c r="G109" s="188"/>
      <c r="H109" s="188"/>
      <c r="I109" s="188"/>
      <c r="JE109" s="368"/>
    </row>
    <row r="110" spans="1:265" ht="13.95" customHeight="1">
      <c r="E110" s="188"/>
      <c r="F110" s="188"/>
      <c r="G110" s="188"/>
      <c r="H110" s="188"/>
      <c r="I110" s="188"/>
    </row>
    <row r="111" spans="1:265" ht="13.8">
      <c r="E111" s="188"/>
      <c r="F111" s="188"/>
      <c r="G111" s="188"/>
      <c r="H111" s="188"/>
      <c r="I111" s="188"/>
    </row>
    <row r="112" spans="1:265" ht="13.8">
      <c r="E112" s="188"/>
      <c r="F112" s="188"/>
      <c r="G112" s="188"/>
      <c r="H112" s="188"/>
      <c r="I112" s="188"/>
    </row>
    <row r="113" spans="5:9" ht="13.8">
      <c r="E113" s="188"/>
      <c r="F113" s="188"/>
      <c r="G113" s="188"/>
      <c r="H113" s="188"/>
      <c r="I113" s="188"/>
    </row>
    <row r="114" spans="5:9" ht="13.8">
      <c r="E114" s="188"/>
      <c r="F114" s="188"/>
      <c r="G114" s="188"/>
      <c r="H114" s="188"/>
      <c r="I114" s="188"/>
    </row>
    <row r="115" spans="5:9" ht="13.8">
      <c r="E115" s="188"/>
      <c r="F115" s="188"/>
      <c r="G115" s="188"/>
      <c r="H115" s="188"/>
      <c r="I115" s="188"/>
    </row>
    <row r="116" spans="5:9" ht="13.8">
      <c r="E116" s="188"/>
      <c r="F116" s="188"/>
      <c r="G116" s="188"/>
      <c r="H116" s="188"/>
      <c r="I116" s="188"/>
    </row>
    <row r="117" spans="5:9" ht="13.8">
      <c r="E117" s="188"/>
      <c r="F117" s="188"/>
      <c r="G117" s="188"/>
      <c r="H117" s="188"/>
      <c r="I117" s="188"/>
    </row>
    <row r="118" spans="5:9" ht="13.8">
      <c r="E118" s="188"/>
      <c r="F118" s="188"/>
      <c r="G118" s="188"/>
      <c r="H118" s="188"/>
      <c r="I118" s="188"/>
    </row>
    <row r="119" spans="5:9" ht="13.8">
      <c r="E119" s="188"/>
      <c r="F119" s="188"/>
      <c r="G119" s="188"/>
      <c r="H119" s="188"/>
      <c r="I119" s="188"/>
    </row>
    <row r="120" spans="5:9" ht="13.8">
      <c r="E120" s="188"/>
      <c r="F120" s="188"/>
      <c r="G120" s="188"/>
      <c r="H120" s="188"/>
      <c r="I120" s="188"/>
    </row>
    <row r="121" spans="5:9" ht="13.8">
      <c r="E121" s="188"/>
      <c r="F121" s="188"/>
      <c r="G121" s="188"/>
      <c r="H121" s="188"/>
      <c r="I121" s="188"/>
    </row>
    <row r="122" spans="5:9" ht="13.8">
      <c r="E122" s="188"/>
      <c r="F122" s="188"/>
      <c r="G122" s="188"/>
      <c r="H122" s="188"/>
      <c r="I122" s="188"/>
    </row>
    <row r="123" spans="5:9" ht="13.8">
      <c r="E123" s="188"/>
      <c r="F123" s="188"/>
      <c r="G123" s="188"/>
      <c r="H123" s="188"/>
      <c r="I123" s="188"/>
    </row>
    <row r="124" spans="5:9" ht="13.8">
      <c r="E124" s="188"/>
      <c r="F124" s="188"/>
      <c r="G124" s="188"/>
      <c r="H124" s="188"/>
      <c r="I124" s="188"/>
    </row>
    <row r="125" spans="5:9" ht="13.8">
      <c r="E125" s="188"/>
      <c r="F125" s="188"/>
      <c r="G125" s="188"/>
      <c r="H125" s="188"/>
      <c r="I125" s="188"/>
    </row>
    <row r="126" spans="5:9" ht="13.8">
      <c r="E126" s="188"/>
      <c r="F126" s="188"/>
      <c r="G126" s="188"/>
      <c r="H126" s="188"/>
      <c r="I126" s="188"/>
    </row>
    <row r="127" spans="5:9" ht="13.8">
      <c r="E127" s="188"/>
      <c r="F127" s="188"/>
      <c r="G127" s="188"/>
      <c r="H127" s="188"/>
      <c r="I127" s="188"/>
    </row>
    <row r="128" spans="5:9" ht="13.8">
      <c r="E128" s="188"/>
      <c r="F128" s="188"/>
      <c r="G128" s="188"/>
      <c r="H128" s="188"/>
      <c r="I128" s="188"/>
    </row>
    <row r="129" spans="5:9" ht="13.8">
      <c r="E129" s="188"/>
      <c r="F129" s="188"/>
      <c r="G129" s="188"/>
      <c r="H129" s="188"/>
      <c r="I129" s="188"/>
    </row>
    <row r="130" spans="5:9" ht="13.8">
      <c r="E130" s="188"/>
      <c r="F130" s="188"/>
      <c r="G130" s="188"/>
      <c r="H130" s="188"/>
      <c r="I130" s="188"/>
    </row>
    <row r="131" spans="5:9" ht="13.8">
      <c r="E131" s="188"/>
      <c r="F131" s="188"/>
      <c r="G131" s="188"/>
      <c r="H131" s="188"/>
      <c r="I131" s="188"/>
    </row>
    <row r="132" spans="5:9" ht="13.8">
      <c r="E132" s="188"/>
      <c r="F132" s="188"/>
      <c r="G132" s="188"/>
      <c r="H132" s="188"/>
      <c r="I132" s="188"/>
    </row>
    <row r="133" spans="5:9" ht="13.8">
      <c r="E133" s="188"/>
      <c r="F133" s="188"/>
      <c r="G133" s="188"/>
      <c r="H133" s="188"/>
      <c r="I133" s="188"/>
    </row>
    <row r="134" spans="5:9" ht="13.8">
      <c r="E134" s="188"/>
      <c r="F134" s="188"/>
      <c r="G134" s="188"/>
      <c r="H134" s="188"/>
      <c r="I134" s="188"/>
    </row>
    <row r="135" spans="5:9" ht="13.8">
      <c r="E135" s="188"/>
      <c r="F135" s="188"/>
      <c r="G135" s="188"/>
      <c r="H135" s="188"/>
      <c r="I135" s="188"/>
    </row>
    <row r="136" spans="5:9" ht="13.8">
      <c r="E136" s="188"/>
      <c r="F136" s="188"/>
      <c r="G136" s="188"/>
      <c r="H136" s="188"/>
      <c r="I136" s="188"/>
    </row>
    <row r="137" spans="5:9" ht="13.8">
      <c r="E137" s="188"/>
      <c r="F137" s="188"/>
      <c r="G137" s="188"/>
      <c r="H137" s="188"/>
      <c r="I137" s="188"/>
    </row>
    <row r="138" spans="5:9" ht="13.8">
      <c r="E138" s="188"/>
      <c r="F138" s="188"/>
      <c r="G138" s="188"/>
      <c r="H138" s="188"/>
      <c r="I138" s="188"/>
    </row>
    <row r="139" spans="5:9" ht="13.8">
      <c r="E139" s="188"/>
      <c r="F139" s="188"/>
      <c r="G139" s="188"/>
      <c r="H139" s="188"/>
      <c r="I139" s="188"/>
    </row>
    <row r="140" spans="5:9" ht="13.8">
      <c r="E140" s="188"/>
      <c r="F140" s="188"/>
      <c r="G140" s="188"/>
      <c r="H140" s="188"/>
      <c r="I140" s="188"/>
    </row>
    <row r="141" spans="5:9" ht="13.8">
      <c r="E141" s="188"/>
      <c r="F141" s="188"/>
      <c r="G141" s="188"/>
      <c r="H141" s="188"/>
      <c r="I141" s="188"/>
    </row>
    <row r="142" spans="5:9" ht="13.8">
      <c r="E142" s="188"/>
      <c r="F142" s="188"/>
      <c r="G142" s="188"/>
      <c r="H142" s="188"/>
      <c r="I142" s="188"/>
    </row>
    <row r="143" spans="5:9" ht="13.8">
      <c r="E143" s="188"/>
      <c r="F143" s="188"/>
      <c r="G143" s="188"/>
      <c r="H143" s="188"/>
      <c r="I143" s="188"/>
    </row>
    <row r="144" spans="5:9" ht="13.8">
      <c r="E144" s="188"/>
      <c r="F144" s="188"/>
      <c r="G144" s="188"/>
      <c r="H144" s="188"/>
      <c r="I144" s="188"/>
    </row>
    <row r="145" spans="5:9" ht="13.8">
      <c r="E145" s="188"/>
      <c r="F145" s="188"/>
      <c r="G145" s="188"/>
      <c r="H145" s="188"/>
      <c r="I145" s="188"/>
    </row>
    <row r="146" spans="5:9" ht="13.8">
      <c r="E146" s="188"/>
      <c r="F146" s="188"/>
      <c r="G146" s="188"/>
      <c r="H146" s="188"/>
      <c r="I146" s="188"/>
    </row>
    <row r="147" spans="5:9" ht="13.8">
      <c r="E147" s="188"/>
      <c r="F147" s="188"/>
      <c r="G147" s="188"/>
      <c r="H147" s="188"/>
      <c r="I147" s="188"/>
    </row>
    <row r="148" spans="5:9" ht="13.8">
      <c r="E148" s="188"/>
      <c r="F148" s="188"/>
      <c r="G148" s="188"/>
      <c r="H148" s="188"/>
      <c r="I148" s="188"/>
    </row>
    <row r="149" spans="5:9" ht="13.8">
      <c r="E149" s="188"/>
      <c r="F149" s="188"/>
      <c r="G149" s="188"/>
      <c r="H149" s="188"/>
      <c r="I149" s="188"/>
    </row>
    <row r="150" spans="5:9" ht="13.8">
      <c r="E150" s="188"/>
      <c r="F150" s="188"/>
      <c r="G150" s="188"/>
      <c r="H150" s="188"/>
      <c r="I150" s="188"/>
    </row>
    <row r="151" spans="5:9" ht="13.8"/>
    <row r="152" spans="5:9" ht="13.8"/>
    <row r="153" spans="5:9" ht="13.8"/>
    <row r="154" spans="5:9" ht="13.8"/>
    <row r="155" spans="5:9" ht="13.8"/>
    <row r="156" spans="5:9" ht="13.8"/>
    <row r="157" spans="5:9" ht="13.8"/>
    <row r="158" spans="5:9" ht="13.8"/>
    <row r="159" spans="5:9" ht="13.8"/>
    <row r="160" spans="5:9" ht="13.8"/>
    <row r="161" ht="13.8"/>
    <row r="162" ht="13.8"/>
    <row r="163" ht="13.8"/>
    <row r="164" ht="13.8"/>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sheetData>
  <mergeCells count="1">
    <mergeCell ref="K4:L4"/>
  </mergeCells>
  <phoneticPr fontId="20" type="noConversion"/>
  <printOptions horizontalCentered="1"/>
  <pageMargins left="0.27559055118110237" right="0.19685039370078741" top="0.43307086614173229" bottom="0.35433070866141736" header="0.23622047244094491" footer="0"/>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IR166"/>
  <sheetViews>
    <sheetView zoomScale="55" zoomScaleNormal="55" workbookViewId="0">
      <pane xSplit="7" ySplit="5" topLeftCell="H6" activePane="bottomRight" state="frozen"/>
      <selection pane="topRight" activeCell="F1" sqref="F1"/>
      <selection pane="bottomLeft" activeCell="A6" sqref="A6"/>
      <selection pane="bottomRight" activeCell="L30" sqref="L30"/>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0" bestFit="1" customWidth="1"/>
    <col min="5" max="5" width="35.5546875" style="30" bestFit="1" customWidth="1"/>
    <col min="6" max="6" width="16.77734375" style="31" customWidth="1"/>
    <col min="7" max="7" width="16.77734375" style="13" customWidth="1"/>
    <col min="8" max="8" width="18.109375" style="13" customWidth="1"/>
    <col min="9" max="9" width="18.21875" style="4" customWidth="1"/>
    <col min="10" max="11" width="19.109375" style="31" customWidth="1"/>
    <col min="12" max="16" width="17.33203125" style="11" customWidth="1"/>
    <col min="17" max="18" width="17.77734375" style="4" customWidth="1"/>
    <col min="19" max="19" width="17.77734375" style="11" customWidth="1"/>
    <col min="20" max="20" width="21" style="105" bestFit="1" customWidth="1"/>
    <col min="21" max="21" width="17.77734375" style="11" customWidth="1"/>
    <col min="23" max="23" width="17" style="11"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52" ht="24.75" customHeight="1">
      <c r="A1" s="103" t="s">
        <v>62</v>
      </c>
      <c r="B1" s="1"/>
      <c r="C1" s="1"/>
      <c r="D1" s="1"/>
      <c r="E1" s="1"/>
      <c r="F1" s="38"/>
      <c r="G1" s="42"/>
      <c r="H1" s="42"/>
      <c r="I1" s="38"/>
      <c r="J1" s="38"/>
      <c r="K1" s="38"/>
      <c r="L1" s="1"/>
      <c r="M1" s="1"/>
      <c r="N1" s="1"/>
      <c r="O1" s="1"/>
      <c r="P1" s="1"/>
      <c r="Q1" s="38"/>
      <c r="R1" s="38"/>
      <c r="S1" s="1"/>
      <c r="T1" s="2"/>
      <c r="U1" s="1"/>
      <c r="V1" s="2"/>
      <c r="W1" s="3"/>
    </row>
    <row r="2" spans="1:252" ht="24.75" customHeight="1">
      <c r="A2" s="104" t="s">
        <v>114</v>
      </c>
      <c r="B2" s="5"/>
      <c r="C2" s="5"/>
      <c r="D2" s="5"/>
      <c r="E2" s="5"/>
      <c r="F2" s="39"/>
      <c r="G2" s="43"/>
      <c r="H2" s="43"/>
      <c r="I2" s="39"/>
      <c r="J2" s="39"/>
      <c r="K2" s="39"/>
      <c r="L2" s="5"/>
      <c r="M2" s="5"/>
      <c r="N2" s="5"/>
      <c r="O2" s="5"/>
      <c r="P2" s="5"/>
      <c r="Q2" s="39"/>
      <c r="R2" s="39"/>
      <c r="S2" s="5"/>
      <c r="T2" s="6"/>
      <c r="U2" s="5"/>
      <c r="V2" s="6"/>
      <c r="W2" s="3"/>
    </row>
    <row r="3" spans="1:252" ht="26.25" customHeight="1">
      <c r="A3" s="7" t="s">
        <v>92</v>
      </c>
      <c r="B3" s="7"/>
      <c r="C3" s="8"/>
      <c r="D3" s="8"/>
      <c r="E3" s="8"/>
      <c r="F3" s="10"/>
      <c r="G3" s="23"/>
      <c r="H3" s="23"/>
      <c r="I3" s="10"/>
      <c r="J3" s="10"/>
      <c r="K3" s="10"/>
      <c r="L3" s="9"/>
      <c r="M3" s="9"/>
      <c r="N3" s="9"/>
      <c r="O3" s="9"/>
      <c r="P3" s="9"/>
      <c r="Q3" s="10"/>
      <c r="R3" s="10"/>
      <c r="S3" s="13"/>
      <c r="U3" s="13"/>
      <c r="V3" s="12"/>
      <c r="W3" s="3"/>
    </row>
    <row r="4" spans="1:252" ht="22.2" customHeight="1" thickBot="1">
      <c r="A4" s="14"/>
      <c r="B4" s="14"/>
      <c r="C4" s="8"/>
      <c r="D4" s="8"/>
      <c r="E4" s="8"/>
      <c r="F4" s="10"/>
      <c r="G4" s="23"/>
      <c r="H4" s="23"/>
      <c r="I4" s="10"/>
      <c r="J4" s="10"/>
      <c r="K4" s="10"/>
      <c r="L4" s="93">
        <v>0.05</v>
      </c>
      <c r="M4" s="93">
        <v>0.25</v>
      </c>
      <c r="N4" s="154"/>
      <c r="O4" s="154"/>
      <c r="P4" s="154"/>
      <c r="Q4" s="155">
        <v>0.25</v>
      </c>
      <c r="R4" s="10"/>
      <c r="S4" s="13"/>
      <c r="U4" s="13"/>
      <c r="V4" s="12"/>
      <c r="W4" s="3"/>
    </row>
    <row r="5" spans="1:252" s="16" customFormat="1" ht="60.6" thickBot="1">
      <c r="A5" s="248" t="s">
        <v>0</v>
      </c>
      <c r="B5" s="249" t="s">
        <v>39</v>
      </c>
      <c r="C5" s="161" t="s">
        <v>1</v>
      </c>
      <c r="D5" s="161" t="s">
        <v>6</v>
      </c>
      <c r="E5" s="292" t="s">
        <v>44</v>
      </c>
      <c r="F5" s="250" t="s">
        <v>31</v>
      </c>
      <c r="G5" s="251" t="s">
        <v>36</v>
      </c>
      <c r="H5" s="220" t="s">
        <v>95</v>
      </c>
      <c r="I5" s="252" t="s">
        <v>37</v>
      </c>
      <c r="J5" s="162" t="s">
        <v>40</v>
      </c>
      <c r="K5" s="162" t="s">
        <v>102</v>
      </c>
      <c r="L5" s="163" t="s">
        <v>103</v>
      </c>
      <c r="M5" s="163" t="s">
        <v>104</v>
      </c>
      <c r="N5" s="162" t="s">
        <v>105</v>
      </c>
      <c r="O5" s="218" t="s">
        <v>99</v>
      </c>
      <c r="P5" s="218" t="s">
        <v>100</v>
      </c>
      <c r="Q5" s="218" t="s">
        <v>101</v>
      </c>
      <c r="R5" s="164" t="s">
        <v>106</v>
      </c>
      <c r="S5" s="107" t="s">
        <v>38</v>
      </c>
      <c r="T5" s="293" t="s">
        <v>42</v>
      </c>
      <c r="U5" s="294" t="s">
        <v>7</v>
      </c>
      <c r="V5" s="15"/>
    </row>
    <row r="6" spans="1:252" s="122" customFormat="1" ht="23.4" customHeight="1">
      <c r="A6" s="261">
        <v>1</v>
      </c>
      <c r="B6" s="262" t="s">
        <v>108</v>
      </c>
      <c r="C6" s="263" t="s">
        <v>109</v>
      </c>
      <c r="D6" s="264" t="s">
        <v>70</v>
      </c>
      <c r="E6" s="264" t="s">
        <v>50</v>
      </c>
      <c r="F6" s="265">
        <v>4542.0600000000004</v>
      </c>
      <c r="G6" s="266">
        <v>243892</v>
      </c>
      <c r="H6" s="267"/>
      <c r="I6" s="268">
        <f>Table13514520105[[#This Row],[ค่าบริการรายเดือนตาม Package]]+Table13514520105[[#This Row],[รายการเบิก
คอมขายเพิ่มเติม
(เป้าตามกำหนด)
100-200%]]</f>
        <v>4542.0600000000004</v>
      </c>
      <c r="J6" s="267"/>
      <c r="K6" s="267"/>
      <c r="L6" s="269">
        <f>IF(Table13514520105[[#This Row],[ค่าขายอุปกรณ์]]&gt;Table13514520105[[#This Row],[ต้นทุนค่าขายอุปกรณ์]],Table13514520105[[#This Row],[ต้นทุนค่าขายอุปกรณ์]]*$L$4,Table13514520105[[#This Row],[ค่าขายอุปกรณ์]]*$L$4)</f>
        <v>0</v>
      </c>
      <c r="M6" s="269">
        <f>IF(Table13514520105[[#This Row],[ค่าขายอุปกรณ์]]&gt;Table13514520105[[#This Row],[ต้นทุนค่าขายอุปกรณ์]],SUM(Table13514520105[[#This Row],[ค่าขายอุปกรณ์]]-Table13514520105[[#This Row],[ต้นทุนค่าขายอุปกรณ์]])*$M$4,0)</f>
        <v>0</v>
      </c>
      <c r="N6" s="270">
        <f>Table13514520105[[#This Row],[คอมฯอุปกรณ์
 5%]]+Table13514520105[[#This Row],[คอมฯ อุปกรณ์
25%]]</f>
        <v>0</v>
      </c>
      <c r="O6" s="271"/>
      <c r="P6" s="271"/>
      <c r="Q6"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273">
        <f>Table13514520105[[#This Row],[รายการเบิก
คอมขาย]]+Table13514520105[[#This Row],[Total
คอมฯ อุปกรณ์]]+Table13514520105[[#This Row],[Total 
คอมฯค่าติดตั้ง/ค่าเชื่อมสัญญาณ]]</f>
        <v>4542.0600000000004</v>
      </c>
      <c r="S6" s="274" t="s">
        <v>111</v>
      </c>
      <c r="T6" s="275" t="s">
        <v>113</v>
      </c>
      <c r="U6" s="276" t="s">
        <v>112</v>
      </c>
      <c r="V6" s="3"/>
      <c r="W6" s="326" t="s">
        <v>116</v>
      </c>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6"/>
      <c r="EC6" s="326"/>
      <c r="ED6" s="326"/>
      <c r="EE6" s="326"/>
      <c r="EF6" s="326"/>
      <c r="EG6" s="326"/>
      <c r="EH6" s="326"/>
      <c r="EI6" s="326"/>
      <c r="EJ6" s="326"/>
      <c r="EK6" s="326"/>
      <c r="EL6" s="326"/>
      <c r="EM6" s="326"/>
      <c r="EN6" s="326"/>
      <c r="EO6" s="326"/>
      <c r="EP6" s="326"/>
      <c r="EQ6" s="326"/>
      <c r="ER6" s="326"/>
      <c r="ES6" s="326"/>
      <c r="ET6" s="326"/>
      <c r="EU6" s="326"/>
      <c r="EV6" s="326"/>
      <c r="EW6" s="326"/>
      <c r="EX6" s="326"/>
      <c r="EY6" s="326"/>
      <c r="EZ6" s="326"/>
      <c r="FA6" s="326"/>
      <c r="FB6" s="326"/>
      <c r="FC6" s="326"/>
      <c r="FD6" s="326"/>
      <c r="FE6" s="326"/>
      <c r="FF6" s="326"/>
      <c r="FG6" s="326"/>
      <c r="FH6" s="326"/>
      <c r="FI6" s="326"/>
      <c r="FJ6" s="326"/>
      <c r="FK6" s="326"/>
      <c r="FL6" s="326"/>
      <c r="FM6" s="326"/>
      <c r="FN6" s="326"/>
      <c r="FO6" s="326"/>
      <c r="FP6" s="326"/>
      <c r="FQ6" s="326"/>
      <c r="FR6" s="326"/>
      <c r="FS6" s="326"/>
      <c r="FT6" s="326"/>
      <c r="FU6" s="326"/>
      <c r="FV6" s="326"/>
      <c r="FW6" s="326"/>
      <c r="FX6" s="326"/>
      <c r="FY6" s="326"/>
      <c r="FZ6" s="326"/>
      <c r="GA6" s="326"/>
      <c r="GB6" s="326"/>
      <c r="GC6" s="326"/>
      <c r="GD6" s="326"/>
      <c r="GE6" s="326"/>
      <c r="GF6" s="326"/>
      <c r="GG6" s="326"/>
      <c r="GH6" s="326"/>
      <c r="GI6" s="326"/>
      <c r="GJ6" s="326"/>
      <c r="GK6" s="326"/>
      <c r="GL6" s="326"/>
      <c r="GM6" s="326"/>
      <c r="GN6" s="326"/>
      <c r="GO6" s="326"/>
      <c r="GP6" s="326"/>
      <c r="GQ6" s="326"/>
      <c r="GR6" s="326"/>
      <c r="GS6" s="326"/>
      <c r="GT6" s="326"/>
      <c r="GU6" s="326"/>
      <c r="GV6" s="326"/>
      <c r="GW6" s="326"/>
      <c r="GX6" s="326"/>
      <c r="GY6" s="326"/>
      <c r="GZ6" s="326"/>
      <c r="HA6" s="326"/>
      <c r="HB6" s="326"/>
      <c r="HC6" s="326"/>
      <c r="HD6" s="326"/>
      <c r="HE6" s="326"/>
      <c r="HF6" s="326"/>
      <c r="HG6" s="326"/>
      <c r="HH6" s="326"/>
      <c r="HI6" s="326"/>
      <c r="HJ6" s="326"/>
      <c r="HK6" s="326"/>
      <c r="HL6" s="326"/>
      <c r="HM6" s="326"/>
      <c r="HN6" s="326"/>
      <c r="HO6" s="326"/>
      <c r="HP6" s="326"/>
      <c r="HQ6" s="326"/>
      <c r="HR6" s="326"/>
      <c r="HS6" s="326"/>
      <c r="HT6" s="326"/>
      <c r="HU6" s="326"/>
      <c r="HV6" s="326"/>
      <c r="HW6" s="326"/>
      <c r="HX6" s="326"/>
      <c r="HY6" s="326"/>
      <c r="HZ6" s="326"/>
      <c r="IA6" s="326"/>
      <c r="IB6" s="326"/>
      <c r="IC6" s="326"/>
      <c r="ID6" s="326"/>
      <c r="IE6" s="326"/>
      <c r="IF6" s="326"/>
      <c r="IG6" s="326"/>
      <c r="IH6" s="326"/>
      <c r="II6" s="326"/>
      <c r="IJ6" s="326"/>
      <c r="IK6" s="326"/>
      <c r="IL6" s="326"/>
      <c r="IM6" s="326"/>
      <c r="IN6" s="326"/>
      <c r="IO6" s="326"/>
      <c r="IP6" s="326"/>
      <c r="IQ6" s="326"/>
      <c r="IR6" s="326"/>
    </row>
    <row r="7" spans="1:252" s="122" customFormat="1" ht="23.4" customHeight="1">
      <c r="A7" s="123">
        <v>1.1000000000000001</v>
      </c>
      <c r="B7" s="124"/>
      <c r="C7" s="17" t="s">
        <v>110</v>
      </c>
      <c r="D7" s="28"/>
      <c r="E7" s="28"/>
      <c r="F7" s="34"/>
      <c r="G7" s="36"/>
      <c r="H7" s="118"/>
      <c r="I7" s="40"/>
      <c r="J7" s="114"/>
      <c r="K7" s="115"/>
      <c r="L7" s="125"/>
      <c r="M7" s="126"/>
      <c r="N7" s="126"/>
      <c r="O7" s="126"/>
      <c r="P7" s="126"/>
      <c r="Q7" s="40"/>
      <c r="R7" s="238"/>
      <c r="S7" s="98"/>
      <c r="T7" s="148"/>
      <c r="U7" s="143"/>
      <c r="V7" s="3"/>
    </row>
    <row r="8" spans="1:252" s="122" customFormat="1" ht="23.4" customHeight="1" thickBot="1">
      <c r="A8" s="295">
        <v>1.2</v>
      </c>
      <c r="B8" s="296"/>
      <c r="C8" s="297"/>
      <c r="D8" s="282"/>
      <c r="E8" s="282"/>
      <c r="F8" s="283"/>
      <c r="G8" s="284"/>
      <c r="H8" s="298"/>
      <c r="I8" s="285"/>
      <c r="J8" s="283"/>
      <c r="K8" s="283"/>
      <c r="L8" s="286"/>
      <c r="M8" s="286"/>
      <c r="N8" s="286"/>
      <c r="O8" s="286"/>
      <c r="P8" s="286"/>
      <c r="Q8" s="285"/>
      <c r="R8" s="299"/>
      <c r="S8" s="288"/>
      <c r="T8" s="300"/>
      <c r="U8" s="301"/>
      <c r="V8" s="101"/>
    </row>
    <row r="9" spans="1:252" s="122" customFormat="1" ht="23.4" customHeight="1">
      <c r="A9" s="261">
        <v>2</v>
      </c>
      <c r="B9" s="262" t="s">
        <v>117</v>
      </c>
      <c r="C9" s="263" t="s">
        <v>118</v>
      </c>
      <c r="D9" s="264" t="s">
        <v>72</v>
      </c>
      <c r="E9" s="264" t="s">
        <v>50</v>
      </c>
      <c r="F9" s="265">
        <v>4000</v>
      </c>
      <c r="G9" s="266">
        <v>243923</v>
      </c>
      <c r="H9" s="267"/>
      <c r="I9" s="268">
        <f>Table13514520105[[#This Row],[ค่าบริการรายเดือนตาม Package]]+Table13514520105[[#This Row],[รายการเบิก
คอมขายเพิ่มเติม
(เป้าตามกำหนด)
100-200%]]</f>
        <v>4000</v>
      </c>
      <c r="J9" s="267"/>
      <c r="K9" s="267"/>
      <c r="L9" s="269">
        <f>IF(Table13514520105[[#This Row],[ค่าขายอุปกรณ์]]&gt;Table13514520105[[#This Row],[ต้นทุนค่าขายอุปกรณ์]],Table13514520105[[#This Row],[ต้นทุนค่าขายอุปกรณ์]]*$L$4,Table13514520105[[#This Row],[ค่าขายอุปกรณ์]]*$L$4)</f>
        <v>0</v>
      </c>
      <c r="M9" s="269">
        <f>IF(Table13514520105[[#This Row],[ค่าขายอุปกรณ์]]&gt;Table13514520105[[#This Row],[ต้นทุนค่าขายอุปกรณ์]],SUM(Table13514520105[[#This Row],[ค่าขายอุปกรณ์]]-Table13514520105[[#This Row],[ต้นทุนค่าขายอุปกรณ์]])*$M$4,0)</f>
        <v>0</v>
      </c>
      <c r="N9" s="270">
        <f>Table13514520105[[#This Row],[คอมฯอุปกรณ์
 5%]]+Table13514520105[[#This Row],[คอมฯ อุปกรณ์
25%]]</f>
        <v>0</v>
      </c>
      <c r="O9" s="271"/>
      <c r="P9" s="271"/>
      <c r="Q9"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273">
        <f>Table13514520105[[#This Row],[รายการเบิก
คอมขาย]]+Table13514520105[[#This Row],[Total
คอมฯ อุปกรณ์]]+Table13514520105[[#This Row],[Total 
คอมฯค่าติดตั้ง/ค่าเชื่อมสัญญาณ]]</f>
        <v>4000</v>
      </c>
      <c r="S9" s="274" t="s">
        <v>120</v>
      </c>
      <c r="T9" s="275" t="s">
        <v>132</v>
      </c>
      <c r="U9" s="276" t="s">
        <v>107</v>
      </c>
      <c r="V9" s="277"/>
    </row>
    <row r="10" spans="1:252" s="122" customFormat="1" ht="23.4" customHeight="1">
      <c r="A10" s="123"/>
      <c r="B10" s="124"/>
      <c r="C10" s="17" t="s">
        <v>119</v>
      </c>
      <c r="D10" s="28"/>
      <c r="E10" s="28"/>
      <c r="F10" s="34"/>
      <c r="G10" s="36"/>
      <c r="H10" s="118"/>
      <c r="I10" s="40"/>
      <c r="J10" s="114"/>
      <c r="K10" s="115"/>
      <c r="L10" s="125"/>
      <c r="M10" s="126"/>
      <c r="N10" s="126"/>
      <c r="O10" s="126"/>
      <c r="P10" s="126"/>
      <c r="Q10" s="40"/>
      <c r="R10" s="238"/>
      <c r="S10" s="98"/>
      <c r="T10" s="148"/>
      <c r="U10" s="143"/>
      <c r="V10" s="278"/>
    </row>
    <row r="11" spans="1:252" s="258" customFormat="1" ht="23.4" customHeight="1" thickBot="1">
      <c r="A11" s="279"/>
      <c r="B11" s="280"/>
      <c r="C11" s="281"/>
      <c r="D11" s="282"/>
      <c r="E11" s="282"/>
      <c r="F11" s="283"/>
      <c r="G11" s="284"/>
      <c r="H11" s="284"/>
      <c r="I11" s="285"/>
      <c r="J11" s="283"/>
      <c r="K11" s="283"/>
      <c r="L11" s="286"/>
      <c r="M11" s="286"/>
      <c r="N11" s="286"/>
      <c r="O11" s="286"/>
      <c r="P11" s="286"/>
      <c r="Q11" s="285"/>
      <c r="R11" s="287"/>
      <c r="S11" s="288"/>
      <c r="T11" s="289"/>
      <c r="U11" s="290"/>
      <c r="V11" s="291"/>
    </row>
    <row r="12" spans="1:252" s="258" customFormat="1" ht="23.4" customHeight="1">
      <c r="A12" s="255">
        <v>3</v>
      </c>
      <c r="B12" s="256" t="s">
        <v>121</v>
      </c>
      <c r="C12" s="259" t="s">
        <v>122</v>
      </c>
      <c r="D12" s="264" t="s">
        <v>67</v>
      </c>
      <c r="E12" s="264" t="s">
        <v>50</v>
      </c>
      <c r="F12" s="35">
        <v>3500</v>
      </c>
      <c r="G12" s="327">
        <v>243923</v>
      </c>
      <c r="H12" s="37"/>
      <c r="I12" s="268">
        <f>Table13514520105[[#This Row],[ค่าบริการรายเดือนตาม Package]]+Table13514520105[[#This Row],[รายการเบิก
คอมขายเพิ่มเติม
(เป้าตามกำหนด)
100-200%]]</f>
        <v>3500</v>
      </c>
      <c r="J12" s="35"/>
      <c r="K12" s="35"/>
      <c r="L12" s="253"/>
      <c r="M12" s="269">
        <f>IF(Table13514520105[[#This Row],[ค่าขายอุปกรณ์]]&gt;Table13514520105[[#This Row],[ต้นทุนค่าขายอุปกรณ์]],SUM(Table13514520105[[#This Row],[ค่าขายอุปกรณ์]]-Table13514520105[[#This Row],[ต้นทุนค่าขายอุปกรณ์]])*$M$4,0)</f>
        <v>0</v>
      </c>
      <c r="N12" s="270">
        <f>Table13514520105[[#This Row],[คอมฯอุปกรณ์
 5%]]+Table13514520105[[#This Row],[คอมฯ อุปกรณ์
25%]]</f>
        <v>0</v>
      </c>
      <c r="O12" s="126"/>
      <c r="P12" s="126"/>
      <c r="Q12"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273">
        <f>Table13514520105[[#This Row],[รายการเบิก
คอมขาย]]+Table13514520105[[#This Row],[Total
คอมฯ อุปกรณ์]]+Table13514520105[[#This Row],[Total 
คอมฯค่าติดตั้ง/ค่าเชื่อมสัญญาณ]]</f>
        <v>3500</v>
      </c>
      <c r="S12" s="100" t="s">
        <v>124</v>
      </c>
      <c r="T12" s="275" t="s">
        <v>132</v>
      </c>
      <c r="U12" s="145" t="s">
        <v>107</v>
      </c>
      <c r="V12" s="131"/>
    </row>
    <row r="13" spans="1:252" s="258" customFormat="1" ht="23.4" customHeight="1">
      <c r="A13" s="255"/>
      <c r="B13" s="256"/>
      <c r="C13" s="259" t="s">
        <v>123</v>
      </c>
      <c r="D13" s="29"/>
      <c r="E13" s="260"/>
      <c r="F13" s="35"/>
      <c r="G13" s="37"/>
      <c r="H13" s="37"/>
      <c r="I13" s="41"/>
      <c r="J13" s="35"/>
      <c r="K13" s="35"/>
      <c r="L13" s="253"/>
      <c r="M13" s="126"/>
      <c r="N13" s="126"/>
      <c r="O13" s="126"/>
      <c r="P13" s="126"/>
      <c r="Q13" s="254"/>
      <c r="R13" s="257"/>
      <c r="S13" s="100"/>
      <c r="T13" s="151"/>
      <c r="U13" s="145"/>
      <c r="V13" s="131"/>
    </row>
    <row r="14" spans="1:252" s="258" customFormat="1" ht="23.4" customHeight="1" thickBot="1">
      <c r="A14" s="255"/>
      <c r="B14" s="256"/>
      <c r="C14" s="259"/>
      <c r="D14" s="29"/>
      <c r="E14" s="260"/>
      <c r="F14" s="35"/>
      <c r="G14" s="37"/>
      <c r="H14" s="37"/>
      <c r="I14" s="41"/>
      <c r="J14" s="35"/>
      <c r="K14" s="35"/>
      <c r="L14" s="253"/>
      <c r="M14" s="126"/>
      <c r="N14" s="126"/>
      <c r="O14" s="126"/>
      <c r="P14" s="126"/>
      <c r="Q14" s="254"/>
      <c r="R14" s="257"/>
      <c r="S14" s="100"/>
      <c r="T14" s="151"/>
      <c r="U14" s="145"/>
      <c r="V14" s="131"/>
    </row>
    <row r="15" spans="1:252" s="122" customFormat="1" ht="23.4" customHeight="1">
      <c r="A15" s="315">
        <v>4</v>
      </c>
      <c r="B15" s="316" t="s">
        <v>125</v>
      </c>
      <c r="C15" s="317" t="s">
        <v>127</v>
      </c>
      <c r="D15" s="264" t="s">
        <v>68</v>
      </c>
      <c r="E15" s="264" t="s">
        <v>50</v>
      </c>
      <c r="F15" s="267">
        <v>6500</v>
      </c>
      <c r="G15" s="266">
        <v>243923</v>
      </c>
      <c r="H15" s="267"/>
      <c r="I15" s="268">
        <f>Table13514520105[[#This Row],[ค่าบริการรายเดือนตาม Package]]+Table13514520105[[#This Row],[รายการเบิก
คอมขายเพิ่มเติม
(เป้าตามกำหนด)
100-200%]]</f>
        <v>6500</v>
      </c>
      <c r="J15" s="267"/>
      <c r="K15" s="267"/>
      <c r="L15" s="269">
        <f>IF(Table13514520105[[#This Row],[ค่าขายอุปกรณ์]]&gt;Table13514520105[[#This Row],[ต้นทุนค่าขายอุปกรณ์]],Table13514520105[[#This Row],[ต้นทุนค่าขายอุปกรณ์]]*$L$4,Table13514520105[[#This Row],[ค่าขายอุปกรณ์]]*$L$4)</f>
        <v>0</v>
      </c>
      <c r="M15" s="269">
        <f>IF(Table13514520105[[#This Row],[ค่าขายอุปกรณ์]]&gt;Table13514520105[[#This Row],[ต้นทุนค่าขายอุปกรณ์]],SUM(Table13514520105[[#This Row],[ค่าขายอุปกรณ์]]-Table13514520105[[#This Row],[ต้นทุนค่าขายอุปกรณ์]])*$M$4,0)</f>
        <v>0</v>
      </c>
      <c r="N15" s="270">
        <f>Table13514520105[[#This Row],[คอมฯอุปกรณ์
 5%]]+Table13514520105[[#This Row],[คอมฯ อุปกรณ์
25%]]</f>
        <v>0</v>
      </c>
      <c r="O15" s="269"/>
      <c r="P15" s="269"/>
      <c r="Q15"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273">
        <f>Table13514520105[[#This Row],[รายการเบิก
คอมขาย]]+Table13514520105[[#This Row],[Total
คอมฯ อุปกรณ์]]+Table13514520105[[#This Row],[Total 
คอมฯค่าติดตั้ง/ค่าเชื่อมสัญญาณ]]</f>
        <v>6500</v>
      </c>
      <c r="S15" s="274" t="s">
        <v>128</v>
      </c>
      <c r="T15" s="275" t="s">
        <v>133</v>
      </c>
      <c r="U15" s="318" t="s">
        <v>129</v>
      </c>
      <c r="V15" s="3"/>
    </row>
    <row r="16" spans="1:252" s="122" customFormat="1" ht="23.4" customHeight="1">
      <c r="A16" s="123">
        <v>3.1</v>
      </c>
      <c r="B16" s="130"/>
      <c r="C16" s="202" t="s">
        <v>126</v>
      </c>
      <c r="D16" s="117"/>
      <c r="E16" s="116"/>
      <c r="F16" s="117"/>
      <c r="G16" s="118"/>
      <c r="H16" s="118"/>
      <c r="I16" s="40"/>
      <c r="J16" s="97"/>
      <c r="K16" s="102"/>
      <c r="L16" s="132"/>
      <c r="M16" s="133"/>
      <c r="N16" s="126"/>
      <c r="O16" s="133"/>
      <c r="P16" s="133"/>
      <c r="Q16" s="40"/>
      <c r="R16" s="238"/>
      <c r="S16" s="98"/>
      <c r="T16" s="150"/>
      <c r="U16" s="319"/>
      <c r="V16" s="99"/>
    </row>
    <row r="17" spans="1:23" s="122" customFormat="1" ht="23.4" customHeight="1" thickBot="1">
      <c r="A17" s="295">
        <v>3.2</v>
      </c>
      <c r="B17" s="296"/>
      <c r="C17" s="320"/>
      <c r="D17" s="321"/>
      <c r="E17" s="322"/>
      <c r="F17" s="283"/>
      <c r="G17" s="284"/>
      <c r="H17" s="298"/>
      <c r="I17" s="285"/>
      <c r="J17" s="323"/>
      <c r="K17" s="323"/>
      <c r="L17" s="324"/>
      <c r="M17" s="324"/>
      <c r="N17" s="286"/>
      <c r="O17" s="324"/>
      <c r="P17" s="324"/>
      <c r="Q17" s="285"/>
      <c r="R17" s="299"/>
      <c r="S17" s="288"/>
      <c r="T17" s="289"/>
      <c r="U17" s="325"/>
      <c r="V17" s="131"/>
    </row>
    <row r="18" spans="1:23" s="122" customFormat="1" ht="23.4" hidden="1" customHeight="1">
      <c r="A18" s="302">
        <v>5</v>
      </c>
      <c r="B18" s="303"/>
      <c r="C18" s="304"/>
      <c r="D18" s="116"/>
      <c r="E18" s="116"/>
      <c r="F18" s="305"/>
      <c r="G18" s="306"/>
      <c r="H18" s="305"/>
      <c r="I18" s="307">
        <f>Table13514520105[[#This Row],[ค่าบริการรายเดือนตาม Package]]+Table13514520105[[#This Row],[รายการเบิก
คอมขายเพิ่มเติม
(เป้าตามกำหนด)
100-200%]]</f>
        <v>0</v>
      </c>
      <c r="J18" s="305"/>
      <c r="K18" s="308"/>
      <c r="L18" s="309">
        <f>IF(Table13514520105[[#This Row],[ค่าขายอุปกรณ์]]&gt;Table13514520105[[#This Row],[ต้นทุนค่าขายอุปกรณ์]],Table13514520105[[#This Row],[ต้นทุนค่าขายอุปกรณ์]]*$L$4,Table13514520105[[#This Row],[ค่าขายอุปกรณ์]]*$L$4)</f>
        <v>0</v>
      </c>
      <c r="M18" s="309">
        <f>IF(Table13514520105[[#This Row],[ค่าขายอุปกรณ์]]&gt;Table13514520105[[#This Row],[ต้นทุนค่าขายอุปกรณ์]],SUM(Table13514520105[[#This Row],[ค่าขายอุปกรณ์]]-Table13514520105[[#This Row],[ต้นทุนค่าขายอุปกรณ์]])*$M$4,0)</f>
        <v>0</v>
      </c>
      <c r="N18" s="310">
        <f>Table13514520105[[#This Row],[คอมฯอุปกรณ์
 5%]]+Table13514520105[[#This Row],[คอมฯ อุปกรณ์
25%]]</f>
        <v>0</v>
      </c>
      <c r="O18" s="309"/>
      <c r="P18" s="309"/>
      <c r="Q18" s="311">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239">
        <f>Table13514520105[[#This Row],[รายการเบิก
คอมขาย]]+Table13514520105[[#This Row],[Total
คอมฯ อุปกรณ์]]+Table13514520105[[#This Row],[Total 
คอมฯค่าติดตั้ง/ค่าเชื่อมสัญญาณ]]</f>
        <v>0</v>
      </c>
      <c r="S18" s="312"/>
      <c r="T18" s="313"/>
      <c r="U18" s="314"/>
      <c r="V18" s="3"/>
    </row>
    <row r="19" spans="1:23" s="122" customFormat="1" ht="23.4" hidden="1" customHeight="1">
      <c r="A19" s="123">
        <v>5.0999999999999996</v>
      </c>
      <c r="B19" s="130"/>
      <c r="C19" s="242"/>
      <c r="D19" s="116"/>
      <c r="E19" s="116"/>
      <c r="F19" s="117"/>
      <c r="G19" s="118"/>
      <c r="H19" s="118"/>
      <c r="I19" s="40"/>
      <c r="J19" s="97"/>
      <c r="K19" s="102"/>
      <c r="L19" s="132"/>
      <c r="M19" s="133"/>
      <c r="N19" s="126"/>
      <c r="O19" s="133"/>
      <c r="P19" s="133"/>
      <c r="Q19" s="40"/>
      <c r="R19" s="238"/>
      <c r="S19" s="98"/>
      <c r="T19" s="148"/>
      <c r="U19" s="144"/>
      <c r="V19" s="99"/>
    </row>
    <row r="20" spans="1:23" s="122" customFormat="1" ht="23.4" hidden="1" customHeight="1" thickBot="1">
      <c r="A20" s="127">
        <v>5.2</v>
      </c>
      <c r="B20" s="124"/>
      <c r="C20" s="92"/>
      <c r="D20" s="116"/>
      <c r="E20" s="116"/>
      <c r="F20" s="117"/>
      <c r="G20" s="118"/>
      <c r="H20" s="118"/>
      <c r="I20" s="41"/>
      <c r="J20" s="117"/>
      <c r="K20" s="117"/>
      <c r="L20" s="133"/>
      <c r="M20" s="133"/>
      <c r="N20" s="126"/>
      <c r="O20" s="133"/>
      <c r="P20" s="133"/>
      <c r="Q20" s="41"/>
      <c r="R20" s="239"/>
      <c r="S20" s="100"/>
      <c r="T20" s="149"/>
      <c r="U20" s="145"/>
      <c r="V20" s="101"/>
    </row>
    <row r="21" spans="1:23" s="122" customFormat="1" ht="23.4" hidden="1" customHeight="1">
      <c r="A21" s="243">
        <v>6</v>
      </c>
      <c r="B21" s="128"/>
      <c r="C21" s="129"/>
      <c r="D21" s="27"/>
      <c r="E21" s="27"/>
      <c r="F21" s="120"/>
      <c r="G21" s="221"/>
      <c r="H21" s="120"/>
      <c r="I21" s="219">
        <f>Table13514520105[[#This Row],[ค่าบริการรายเดือนตาม Package]]+Table13514520105[[#This Row],[รายการเบิก
คอมขายเพิ่มเติม
(เป้าตามกำหนด)
100-200%]]</f>
        <v>0</v>
      </c>
      <c r="J21" s="120"/>
      <c r="K21" s="33"/>
      <c r="L21" s="121">
        <f>IF(Table13514520105[[#This Row],[ค่าขายอุปกรณ์]]&gt;Table13514520105[[#This Row],[ต้นทุนค่าขายอุปกรณ์]],Table13514520105[[#This Row],[ต้นทุนค่าขายอุปกรณ์]]*$L$4,Table13514520105[[#This Row],[ค่าขายอุปกรณ์]]*$L$4)</f>
        <v>0</v>
      </c>
      <c r="M21" s="121">
        <f>IF(Table13514520105[[#This Row],[ค่าขายอุปกรณ์]]&gt;Table13514520105[[#This Row],[ต้นทุนค่าขายอุปกรณ์]],SUM(Table13514520105[[#This Row],[ค่าขายอุปกรณ์]]-Table13514520105[[#This Row],[ต้นทุนค่าขายอุปกรณ์]])*$M$4,0)</f>
        <v>0</v>
      </c>
      <c r="N21" s="236">
        <f>Table13514520105[[#This Row],[คอมฯอุปกรณ์
 5%]]+Table13514520105[[#This Row],[คอมฯ อุปกรณ์
25%]]</f>
        <v>0</v>
      </c>
      <c r="O21" s="121"/>
      <c r="P21" s="121"/>
      <c r="Q21"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237">
        <f>Table13514520105[[#This Row],[รายการเบิก
คอมขาย]]+Table13514520105[[#This Row],[Total
คอมฯ อุปกรณ์]]+Table13514520105[[#This Row],[Total 
คอมฯค่าติดตั้ง/ค่าเชื่อมสัญญาณ]]</f>
        <v>0</v>
      </c>
      <c r="S21" s="167"/>
      <c r="T21" s="147"/>
      <c r="U21" s="203"/>
      <c r="V21" s="3"/>
    </row>
    <row r="22" spans="1:23" s="122" customFormat="1" ht="23.4" hidden="1" customHeight="1">
      <c r="A22" s="244">
        <v>7.1</v>
      </c>
      <c r="B22" s="130"/>
      <c r="C22" s="140"/>
      <c r="D22" s="116"/>
      <c r="E22" s="116"/>
      <c r="F22" s="117"/>
      <c r="G22" s="118"/>
      <c r="H22" s="118"/>
      <c r="I22" s="40"/>
      <c r="J22" s="97"/>
      <c r="K22" s="102"/>
      <c r="L22" s="132"/>
      <c r="M22" s="133"/>
      <c r="N22" s="126"/>
      <c r="O22" s="133"/>
      <c r="P22" s="133"/>
      <c r="Q22" s="40"/>
      <c r="R22" s="238"/>
      <c r="S22" s="168"/>
      <c r="T22" s="204"/>
      <c r="U22" s="205"/>
      <c r="V22" s="3"/>
    </row>
    <row r="23" spans="1:23" s="122" customFormat="1" ht="23.4" hidden="1" customHeight="1" thickBot="1">
      <c r="A23" s="127">
        <v>7.2</v>
      </c>
      <c r="B23" s="124"/>
      <c r="C23" s="92"/>
      <c r="D23" s="116"/>
      <c r="E23" s="116"/>
      <c r="F23" s="117"/>
      <c r="G23" s="118"/>
      <c r="H23" s="118"/>
      <c r="I23" s="41"/>
      <c r="J23" s="117"/>
      <c r="K23" s="117"/>
      <c r="L23" s="133"/>
      <c r="M23" s="133"/>
      <c r="N23" s="126"/>
      <c r="O23" s="133"/>
      <c r="P23" s="133"/>
      <c r="Q23" s="41"/>
      <c r="R23" s="239"/>
      <c r="S23" s="170"/>
      <c r="T23" s="149"/>
      <c r="U23" s="30"/>
      <c r="V23" s="3"/>
    </row>
    <row r="24" spans="1:23" s="122" customFormat="1" ht="23.4" hidden="1" customHeight="1">
      <c r="A24" s="243">
        <v>7</v>
      </c>
      <c r="B24" s="245"/>
      <c r="C24" s="129"/>
      <c r="D24" s="27"/>
      <c r="E24" s="27"/>
      <c r="F24" s="120"/>
      <c r="G24" s="221"/>
      <c r="H24" s="120"/>
      <c r="I24" s="219">
        <f>Table13514520105[[#This Row],[ค่าบริการรายเดือนตาม Package]]+Table13514520105[[#This Row],[รายการเบิก
คอมขายเพิ่มเติม
(เป้าตามกำหนด)
100-200%]]</f>
        <v>0</v>
      </c>
      <c r="J24" s="120"/>
      <c r="K24" s="153"/>
      <c r="L24" s="121">
        <f>IF(Table13514520105[[#This Row],[ค่าขายอุปกรณ์]]&gt;Table13514520105[[#This Row],[ต้นทุนค่าขายอุปกรณ์]],Table13514520105[[#This Row],[ต้นทุนค่าขายอุปกรณ์]]*$L$4,Table13514520105[[#This Row],[ค่าขายอุปกรณ์]]*$L$4)</f>
        <v>0</v>
      </c>
      <c r="M24" s="121">
        <f>IF(Table13514520105[[#This Row],[ค่าขายอุปกรณ์]]&gt;Table13514520105[[#This Row],[ต้นทุนค่าขายอุปกรณ์]],SUM(Table13514520105[[#This Row],[ค่าขายอุปกรณ์]]-Table13514520105[[#This Row],[ต้นทุนค่าขายอุปกรณ์]])*$M$4,0)</f>
        <v>0</v>
      </c>
      <c r="N24" s="236">
        <f>Table13514520105[[#This Row],[คอมฯอุปกรณ์
 5%]]+Table13514520105[[#This Row],[คอมฯ อุปกรณ์
25%]]</f>
        <v>0</v>
      </c>
      <c r="O24" s="121"/>
      <c r="P24" s="153"/>
      <c r="Q24"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237">
        <f>Table13514520105[[#This Row],[รายการเบิก
คอมขาย]]+Table13514520105[[#This Row],[Total
คอมฯ อุปกรณ์]]+Table13514520105[[#This Row],[Total 
คอมฯค่าติดตั้ง/ค่าเชื่อมสัญญาณ]]</f>
        <v>0</v>
      </c>
      <c r="S24" s="167"/>
      <c r="T24" s="147"/>
      <c r="U24" s="203"/>
      <c r="V24" s="3"/>
    </row>
    <row r="25" spans="1:23" s="122" customFormat="1" ht="23.4" hidden="1" customHeight="1">
      <c r="A25" s="244">
        <v>8.1</v>
      </c>
      <c r="B25" s="124"/>
      <c r="C25" s="242"/>
      <c r="D25" s="116"/>
      <c r="E25" s="116"/>
      <c r="F25" s="117"/>
      <c r="G25" s="118"/>
      <c r="H25" s="118"/>
      <c r="I25" s="40"/>
      <c r="J25" s="97"/>
      <c r="K25" s="102"/>
      <c r="L25" s="132"/>
      <c r="M25" s="133"/>
      <c r="N25" s="126"/>
      <c r="O25" s="133"/>
      <c r="P25" s="133"/>
      <c r="Q25" s="40"/>
      <c r="R25" s="238"/>
      <c r="S25" s="98"/>
      <c r="T25" s="169"/>
      <c r="U25" s="205"/>
      <c r="V25" s="3"/>
    </row>
    <row r="26" spans="1:23" s="122" customFormat="1" ht="82.2" hidden="1" customHeight="1" thickBot="1">
      <c r="A26" s="127">
        <v>8.1999999999999993</v>
      </c>
      <c r="B26" s="124"/>
      <c r="C26" s="235"/>
      <c r="D26" s="116"/>
      <c r="E26" s="116"/>
      <c r="F26" s="117"/>
      <c r="G26" s="118"/>
      <c r="H26" s="118"/>
      <c r="I26" s="41"/>
      <c r="J26" s="117"/>
      <c r="K26" s="117"/>
      <c r="L26" s="133"/>
      <c r="M26" s="133"/>
      <c r="N26" s="126"/>
      <c r="O26" s="133"/>
      <c r="P26" s="133"/>
      <c r="Q26" s="41"/>
      <c r="R26" s="239"/>
      <c r="S26" s="170"/>
      <c r="T26" s="166"/>
      <c r="U26" s="30"/>
      <c r="V26" s="171"/>
    </row>
    <row r="27" spans="1:23" ht="22.95" hidden="1" customHeight="1">
      <c r="A27" s="240">
        <v>8</v>
      </c>
      <c r="B27" s="241"/>
      <c r="C27" s="129"/>
      <c r="D27" s="27"/>
      <c r="E27" s="27"/>
      <c r="F27" s="120"/>
      <c r="G27" s="246"/>
      <c r="H27" s="120"/>
      <c r="I27" s="219">
        <f>Table13514520105[[#This Row],[ค่าบริการรายเดือนตาม Package]]+Table13514520105[[#This Row],[รายการเบิก
คอมขายเพิ่มเติม
(เป้าตามกำหนด)
100-200%]]</f>
        <v>0</v>
      </c>
      <c r="J27" s="120"/>
      <c r="K27" s="153"/>
      <c r="L27" s="121">
        <f>IF(Table13514520105[[#This Row],[ค่าขายอุปกรณ์]]&gt;Table13514520105[[#This Row],[ต้นทุนค่าขายอุปกรณ์]],Table13514520105[[#This Row],[ต้นทุนค่าขายอุปกรณ์]]*$L$4,Table13514520105[[#This Row],[ค่าขายอุปกรณ์]]*$L$4)</f>
        <v>0</v>
      </c>
      <c r="M27" s="121">
        <f>IF(Table13514520105[[#This Row],[ค่าขายอุปกรณ์]]&gt;Table13514520105[[#This Row],[ต้นทุนค่าขายอุปกรณ์]],SUM(Table13514520105[[#This Row],[ค่าขายอุปกรณ์]]-Table13514520105[[#This Row],[ต้นทุนค่าขายอุปกรณ์]])*$M$4,0)</f>
        <v>0</v>
      </c>
      <c r="N27" s="236">
        <f>Table13514520105[[#This Row],[คอมฯอุปกรณ์
 5%]]+Table13514520105[[#This Row],[คอมฯ อุปกรณ์
25%]]</f>
        <v>0</v>
      </c>
      <c r="O27" s="121"/>
      <c r="P27" s="121"/>
      <c r="Q27"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7" s="237">
        <f>Table13514520105[[#This Row],[รายการเบิก
คอมขาย]]+Table13514520105[[#This Row],[Total
คอมฯ อุปกรณ์]]+Table13514520105[[#This Row],[Total 
คอมฯค่าติดตั้ง/ค่าเชื่อมสัญญาณ]]</f>
        <v>0</v>
      </c>
      <c r="S27" s="167"/>
      <c r="T27" s="165"/>
      <c r="U27" s="203"/>
      <c r="V27" s="3"/>
      <c r="W27" s="3"/>
    </row>
    <row r="28" spans="1:23" s="122" customFormat="1" ht="23.4" hidden="1" customHeight="1">
      <c r="A28" s="244">
        <v>9.1</v>
      </c>
      <c r="B28" s="124"/>
      <c r="C28" s="242"/>
      <c r="D28" s="116"/>
      <c r="E28" s="116"/>
      <c r="F28" s="117"/>
      <c r="G28" s="118"/>
      <c r="H28" s="118"/>
      <c r="I28" s="40"/>
      <c r="J28" s="97"/>
      <c r="K28" s="102"/>
      <c r="L28" s="132"/>
      <c r="M28" s="133"/>
      <c r="N28" s="126"/>
      <c r="O28" s="133"/>
      <c r="P28" s="133"/>
      <c r="Q28" s="40"/>
      <c r="R28" s="238"/>
      <c r="S28" s="168"/>
      <c r="T28" s="169"/>
      <c r="U28" s="205"/>
      <c r="V28" s="3"/>
    </row>
    <row r="29" spans="1:23" ht="25.5" hidden="1" customHeight="1">
      <c r="A29" s="127">
        <v>9.1999999999999993</v>
      </c>
      <c r="B29" s="124"/>
      <c r="C29" s="92"/>
      <c r="D29" s="116"/>
      <c r="E29" s="116"/>
      <c r="F29" s="117"/>
      <c r="G29" s="118"/>
      <c r="H29" s="118"/>
      <c r="I29" s="41"/>
      <c r="J29" s="117"/>
      <c r="K29" s="117"/>
      <c r="L29" s="133"/>
      <c r="M29" s="133"/>
      <c r="N29" s="126"/>
      <c r="O29" s="133"/>
      <c r="P29" s="133"/>
      <c r="Q29" s="41"/>
      <c r="R29" s="239"/>
      <c r="S29" s="206"/>
      <c r="T29" s="207"/>
      <c r="U29" s="208"/>
      <c r="V29" s="171"/>
      <c r="W29" s="3"/>
    </row>
    <row r="30" spans="1:23" ht="29.25" customHeight="1" thickBot="1">
      <c r="A30" s="108"/>
      <c r="B30" s="109"/>
      <c r="C30" s="110" t="s">
        <v>5</v>
      </c>
      <c r="D30" s="111"/>
      <c r="E30" s="111"/>
      <c r="F30" s="137">
        <f>SUBTOTAL(109,Table13514520105[ค่าบริการรายเดือนตาม Package])</f>
        <v>18542.060000000001</v>
      </c>
      <c r="G30" s="112"/>
      <c r="H30" s="137">
        <f>SUBTOTAL(109,Table13514520105[รายการเบิก
คอมขายเพิ่มเติม
(เป้าตามกำหนด)
100-200%])</f>
        <v>0</v>
      </c>
      <c r="I30" s="137">
        <f>SUBTOTAL(109,Table13514520105[รายการเบิก
คอมขาย])</f>
        <v>18542.060000000001</v>
      </c>
      <c r="J30" s="137">
        <f>SUBTOTAL(109,Table13514520105[ค่าขายอุปกรณ์])</f>
        <v>0</v>
      </c>
      <c r="K30" s="137">
        <f>SUBTOTAL(109,Table13514520105[ต้นทุนค่าขายอุปกรณ์])</f>
        <v>0</v>
      </c>
      <c r="L30" s="137">
        <f>SUBTOTAL(109,Table13514520105[คอมฯอุปกรณ์
 5%])</f>
        <v>0</v>
      </c>
      <c r="M30" s="137">
        <f>SUBTOTAL(109,Table13514520105[คอมฯ อุปกรณ์
25%])</f>
        <v>0</v>
      </c>
      <c r="N30" s="137"/>
      <c r="O30" s="137"/>
      <c r="P30" s="137"/>
      <c r="Q30" s="137">
        <f>SUBTOTAL(109,Table13514520105[Total 
คอมฯค่าติดตั้ง/ค่าเชื่อมสัญญาณ])</f>
        <v>0</v>
      </c>
      <c r="R30" s="139">
        <f>SUBTOTAL(109,Table13514520105[รวมค่าคอมฯ])</f>
        <v>18542.060000000001</v>
      </c>
      <c r="S30" s="112">
        <f>SUBTOTAL(109,Table13514520105[เลขที่ใบกำกับ/ใบเสร็จรับเงิน])</f>
        <v>0</v>
      </c>
      <c r="T30" s="152">
        <f>SUBTOTAL(109,Table13514520105[เลขที่นำส่งเงิน
])</f>
        <v>0</v>
      </c>
      <c r="U30" s="146"/>
      <c r="V30" s="247"/>
      <c r="W30" s="3"/>
    </row>
    <row r="31" spans="1:23" ht="15.6">
      <c r="A31" s="18"/>
      <c r="B31" s="18"/>
      <c r="C31" s="19"/>
      <c r="D31" s="19"/>
      <c r="E31" s="19"/>
      <c r="F31" s="10"/>
      <c r="G31" s="23"/>
      <c r="H31" s="23"/>
      <c r="I31" s="10"/>
      <c r="J31" s="10"/>
      <c r="K31" s="10"/>
      <c r="L31" s="20"/>
      <c r="M31" s="20"/>
      <c r="N31" s="20"/>
      <c r="O31" s="20"/>
      <c r="P31" s="20"/>
      <c r="Q31" s="10"/>
      <c r="R31" s="10"/>
      <c r="S31" s="22"/>
      <c r="T31" s="21"/>
      <c r="U31" s="22"/>
      <c r="W31" s="22"/>
    </row>
    <row r="32" spans="1:23" ht="28.5" customHeight="1">
      <c r="L32" s="31"/>
      <c r="M32" s="31"/>
      <c r="N32" s="31"/>
      <c r="O32" s="31"/>
      <c r="P32" s="31"/>
      <c r="S32" s="24"/>
      <c r="U32" s="24"/>
    </row>
    <row r="33" spans="3:21" ht="28.5" customHeight="1">
      <c r="S33" s="4"/>
      <c r="U33" s="4"/>
    </row>
    <row r="34" spans="3:21" ht="28.5" hidden="1" customHeight="1">
      <c r="S34" s="25"/>
      <c r="T34" s="106"/>
      <c r="U34" s="25"/>
    </row>
    <row r="35" spans="3:21" ht="28.5" hidden="1" customHeight="1">
      <c r="S35" s="25"/>
      <c r="T35" s="106"/>
      <c r="U35" s="25"/>
    </row>
    <row r="36" spans="3:21" ht="15" hidden="1">
      <c r="C36" s="4"/>
      <c r="D36" s="31"/>
      <c r="E36" s="31"/>
    </row>
    <row r="37" spans="3:21" ht="15" hidden="1">
      <c r="C37" s="26"/>
      <c r="D37" s="32"/>
      <c r="E37" s="32"/>
    </row>
    <row r="38" spans="3:21" ht="15" hidden="1"/>
    <row r="166" spans="10:10" ht="15" hidden="1">
      <c r="J166" s="31">
        <v>3</v>
      </c>
    </row>
  </sheetData>
  <sheetProtection formatCells="0" insertRows="0" insertHyperlinks="0" deleteRows="0" sort="0" autoFilter="0" pivotTables="0"/>
  <phoneticPr fontId="20" type="noConversion"/>
  <dataValidations count="3">
    <dataValidation type="list" allowBlank="1" showInputMessage="1" showErrorMessage="1" sqref="JH65536:JH65565 TD65536:TD65565 ACZ65536:ACZ65565 AMV65536:AMV65565 AWR65536:AWR65565 BGN65536:BGN65565 BQJ65536:BQJ65565 CAF65536:CAF65565 CKB65536:CKB65565 CTX65536:CTX65565 DDT65536:DDT65565 DNP65536:DNP65565 DXL65536:DXL65565 EHH65536:EHH65565 ERD65536:ERD65565 FAZ65536:FAZ65565 FKV65536:FKV65565 FUR65536:FUR65565 GEN65536:GEN65565 GOJ65536:GOJ65565 GYF65536:GYF65565 HIB65536:HIB65565 HRX65536:HRX65565 IBT65536:IBT65565 ILP65536:ILP65565 IVL65536:IVL65565 JFH65536:JFH65565 JPD65536:JPD65565 JYZ65536:JYZ65565 KIV65536:KIV65565 KSR65536:KSR65565 LCN65536:LCN65565 LMJ65536:LMJ65565 LWF65536:LWF65565 MGB65536:MGB65565 MPX65536:MPX65565 MZT65536:MZT65565 NJP65536:NJP65565 NTL65536:NTL65565 ODH65536:ODH65565 OND65536:OND65565 OWZ65536:OWZ65565 PGV65536:PGV65565 PQR65536:PQR65565 QAN65536:QAN65565 QKJ65536:QKJ65565 QUF65536:QUF65565 REB65536:REB65565 RNX65536:RNX65565 RXT65536:RXT65565 SHP65536:SHP65565 SRL65536:SRL65565 TBH65536:TBH65565 TLD65536:TLD65565 TUZ65536:TUZ65565 UEV65536:UEV65565 UOR65536:UOR65565 UYN65536:UYN65565 VIJ65536:VIJ65565 VSF65536:VSF65565 WCB65536:WCB65565 WLX65536:WLX65565 WVT65536:WVT65565 JH131072:JH131101 TD131072:TD131101 ACZ131072:ACZ131101 AMV131072:AMV131101 AWR131072:AWR131101 BGN131072:BGN131101 BQJ131072:BQJ131101 CAF131072:CAF131101 CKB131072:CKB131101 CTX131072:CTX131101 DDT131072:DDT131101 DNP131072:DNP131101 DXL131072:DXL131101 EHH131072:EHH131101 ERD131072:ERD131101 FAZ131072:FAZ131101 FKV131072:FKV131101 FUR131072:FUR131101 GEN131072:GEN131101 GOJ131072:GOJ131101 GYF131072:GYF131101 HIB131072:HIB131101 HRX131072:HRX131101 IBT131072:IBT131101 ILP131072:ILP131101 IVL131072:IVL131101 JFH131072:JFH131101 JPD131072:JPD131101 JYZ131072:JYZ131101 KIV131072:KIV131101 KSR131072:KSR131101 LCN131072:LCN131101 LMJ131072:LMJ131101 LWF131072:LWF131101 MGB131072:MGB131101 MPX131072:MPX131101 MZT131072:MZT131101 NJP131072:NJP131101 NTL131072:NTL131101 ODH131072:ODH131101 OND131072:OND131101 OWZ131072:OWZ131101 PGV131072:PGV131101 PQR131072:PQR131101 QAN131072:QAN131101 QKJ131072:QKJ131101 QUF131072:QUF131101 REB131072:REB131101 RNX131072:RNX131101 RXT131072:RXT131101 SHP131072:SHP131101 SRL131072:SRL131101 TBH131072:TBH131101 TLD131072:TLD131101 TUZ131072:TUZ131101 UEV131072:UEV131101 UOR131072:UOR131101 UYN131072:UYN131101 VIJ131072:VIJ131101 VSF131072:VSF131101 WCB131072:WCB131101 WLX131072:WLX131101 WVT131072:WVT131101 JH196608:JH196637 TD196608:TD196637 ACZ196608:ACZ196637 AMV196608:AMV196637 AWR196608:AWR196637 BGN196608:BGN196637 BQJ196608:BQJ196637 CAF196608:CAF196637 CKB196608:CKB196637 CTX196608:CTX196637 DDT196608:DDT196637 DNP196608:DNP196637 DXL196608:DXL196637 EHH196608:EHH196637 ERD196608:ERD196637 FAZ196608:FAZ196637 FKV196608:FKV196637 FUR196608:FUR196637 GEN196608:GEN196637 GOJ196608:GOJ196637 GYF196608:GYF196637 HIB196608:HIB196637 HRX196608:HRX196637 IBT196608:IBT196637 ILP196608:ILP196637 IVL196608:IVL196637 JFH196608:JFH196637 JPD196608:JPD196637 JYZ196608:JYZ196637 KIV196608:KIV196637 KSR196608:KSR196637 LCN196608:LCN196637 LMJ196608:LMJ196637 LWF196608:LWF196637 MGB196608:MGB196637 MPX196608:MPX196637 MZT196608:MZT196637 NJP196608:NJP196637 NTL196608:NTL196637 ODH196608:ODH196637 OND196608:OND196637 OWZ196608:OWZ196637 PGV196608:PGV196637 PQR196608:PQR196637 QAN196608:QAN196637 QKJ196608:QKJ196637 QUF196608:QUF196637 REB196608:REB196637 RNX196608:RNX196637 RXT196608:RXT196637 SHP196608:SHP196637 SRL196608:SRL196637 TBH196608:TBH196637 TLD196608:TLD196637 TUZ196608:TUZ196637 UEV196608:UEV196637 UOR196608:UOR196637 UYN196608:UYN196637 VIJ196608:VIJ196637 VSF196608:VSF196637 WCB196608:WCB196637 WLX196608:WLX196637 WVT196608:WVT196637 JH262144:JH262173 TD262144:TD262173 ACZ262144:ACZ262173 AMV262144:AMV262173 AWR262144:AWR262173 BGN262144:BGN262173 BQJ262144:BQJ262173 CAF262144:CAF262173 CKB262144:CKB262173 CTX262144:CTX262173 DDT262144:DDT262173 DNP262144:DNP262173 DXL262144:DXL262173 EHH262144:EHH262173 ERD262144:ERD262173 FAZ262144:FAZ262173 FKV262144:FKV262173 FUR262144:FUR262173 GEN262144:GEN262173 GOJ262144:GOJ262173 GYF262144:GYF262173 HIB262144:HIB262173 HRX262144:HRX262173 IBT262144:IBT262173 ILP262144:ILP262173 IVL262144:IVL262173 JFH262144:JFH262173 JPD262144:JPD262173 JYZ262144:JYZ262173 KIV262144:KIV262173 KSR262144:KSR262173 LCN262144:LCN262173 LMJ262144:LMJ262173 LWF262144:LWF262173 MGB262144:MGB262173 MPX262144:MPX262173 MZT262144:MZT262173 NJP262144:NJP262173 NTL262144:NTL262173 ODH262144:ODH262173 OND262144:OND262173 OWZ262144:OWZ262173 PGV262144:PGV262173 PQR262144:PQR262173 QAN262144:QAN262173 QKJ262144:QKJ262173 QUF262144:QUF262173 REB262144:REB262173 RNX262144:RNX262173 RXT262144:RXT262173 SHP262144:SHP262173 SRL262144:SRL262173 TBH262144:TBH262173 TLD262144:TLD262173 TUZ262144:TUZ262173 UEV262144:UEV262173 UOR262144:UOR262173 UYN262144:UYN262173 VIJ262144:VIJ262173 VSF262144:VSF262173 WCB262144:WCB262173 WLX262144:WLX262173 WVT262144:WVT262173 JH327680:JH327709 TD327680:TD327709 ACZ327680:ACZ327709 AMV327680:AMV327709 AWR327680:AWR327709 BGN327680:BGN327709 BQJ327680:BQJ327709 CAF327680:CAF327709 CKB327680:CKB327709 CTX327680:CTX327709 DDT327680:DDT327709 DNP327680:DNP327709 DXL327680:DXL327709 EHH327680:EHH327709 ERD327680:ERD327709 FAZ327680:FAZ327709 FKV327680:FKV327709 FUR327680:FUR327709 GEN327680:GEN327709 GOJ327680:GOJ327709 GYF327680:GYF327709 HIB327680:HIB327709 HRX327680:HRX327709 IBT327680:IBT327709 ILP327680:ILP327709 IVL327680:IVL327709 JFH327680:JFH327709 JPD327680:JPD327709 JYZ327680:JYZ327709 KIV327680:KIV327709 KSR327680:KSR327709 LCN327680:LCN327709 LMJ327680:LMJ327709 LWF327680:LWF327709 MGB327680:MGB327709 MPX327680:MPX327709 MZT327680:MZT327709 NJP327680:NJP327709 NTL327680:NTL327709 ODH327680:ODH327709 OND327680:OND327709 OWZ327680:OWZ327709 PGV327680:PGV327709 PQR327680:PQR327709 QAN327680:QAN327709 QKJ327680:QKJ327709 QUF327680:QUF327709 REB327680:REB327709 RNX327680:RNX327709 RXT327680:RXT327709 SHP327680:SHP327709 SRL327680:SRL327709 TBH327680:TBH327709 TLD327680:TLD327709 TUZ327680:TUZ327709 UEV327680:UEV327709 UOR327680:UOR327709 UYN327680:UYN327709 VIJ327680:VIJ327709 VSF327680:VSF327709 WCB327680:WCB327709 WLX327680:WLX327709 WVT327680:WVT327709 JH393216:JH393245 TD393216:TD393245 ACZ393216:ACZ393245 AMV393216:AMV393245 AWR393216:AWR393245 BGN393216:BGN393245 BQJ393216:BQJ393245 CAF393216:CAF393245 CKB393216:CKB393245 CTX393216:CTX393245 DDT393216:DDT393245 DNP393216:DNP393245 DXL393216:DXL393245 EHH393216:EHH393245 ERD393216:ERD393245 FAZ393216:FAZ393245 FKV393216:FKV393245 FUR393216:FUR393245 GEN393216:GEN393245 GOJ393216:GOJ393245 GYF393216:GYF393245 HIB393216:HIB393245 HRX393216:HRX393245 IBT393216:IBT393245 ILP393216:ILP393245 IVL393216:IVL393245 JFH393216:JFH393245 JPD393216:JPD393245 JYZ393216:JYZ393245 KIV393216:KIV393245 KSR393216:KSR393245 LCN393216:LCN393245 LMJ393216:LMJ393245 LWF393216:LWF393245 MGB393216:MGB393245 MPX393216:MPX393245 MZT393216:MZT393245 NJP393216:NJP393245 NTL393216:NTL393245 ODH393216:ODH393245 OND393216:OND393245 OWZ393216:OWZ393245 PGV393216:PGV393245 PQR393216:PQR393245 QAN393216:QAN393245 QKJ393216:QKJ393245 QUF393216:QUF393245 REB393216:REB393245 RNX393216:RNX393245 RXT393216:RXT393245 SHP393216:SHP393245 SRL393216:SRL393245 TBH393216:TBH393245 TLD393216:TLD393245 TUZ393216:TUZ393245 UEV393216:UEV393245 UOR393216:UOR393245 UYN393216:UYN393245 VIJ393216:VIJ393245 VSF393216:VSF393245 WCB393216:WCB393245 WLX393216:WLX393245 WVT393216:WVT393245 JH458752:JH458781 TD458752:TD458781 ACZ458752:ACZ458781 AMV458752:AMV458781 AWR458752:AWR458781 BGN458752:BGN458781 BQJ458752:BQJ458781 CAF458752:CAF458781 CKB458752:CKB458781 CTX458752:CTX458781 DDT458752:DDT458781 DNP458752:DNP458781 DXL458752:DXL458781 EHH458752:EHH458781 ERD458752:ERD458781 FAZ458752:FAZ458781 FKV458752:FKV458781 FUR458752:FUR458781 GEN458752:GEN458781 GOJ458752:GOJ458781 GYF458752:GYF458781 HIB458752:HIB458781 HRX458752:HRX458781 IBT458752:IBT458781 ILP458752:ILP458781 IVL458752:IVL458781 JFH458752:JFH458781 JPD458752:JPD458781 JYZ458752:JYZ458781 KIV458752:KIV458781 KSR458752:KSR458781 LCN458752:LCN458781 LMJ458752:LMJ458781 LWF458752:LWF458781 MGB458752:MGB458781 MPX458752:MPX458781 MZT458752:MZT458781 NJP458752:NJP458781 NTL458752:NTL458781 ODH458752:ODH458781 OND458752:OND458781 OWZ458752:OWZ458781 PGV458752:PGV458781 PQR458752:PQR458781 QAN458752:QAN458781 QKJ458752:QKJ458781 QUF458752:QUF458781 REB458752:REB458781 RNX458752:RNX458781 RXT458752:RXT458781 SHP458752:SHP458781 SRL458752:SRL458781 TBH458752:TBH458781 TLD458752:TLD458781 TUZ458752:TUZ458781 UEV458752:UEV458781 UOR458752:UOR458781 UYN458752:UYN458781 VIJ458752:VIJ458781 VSF458752:VSF458781 WCB458752:WCB458781 WLX458752:WLX458781 WVT458752:WVT458781 JH524288:JH524317 TD524288:TD524317 ACZ524288:ACZ524317 AMV524288:AMV524317 AWR524288:AWR524317 BGN524288:BGN524317 BQJ524288:BQJ524317 CAF524288:CAF524317 CKB524288:CKB524317 CTX524288:CTX524317 DDT524288:DDT524317 DNP524288:DNP524317 DXL524288:DXL524317 EHH524288:EHH524317 ERD524288:ERD524317 FAZ524288:FAZ524317 FKV524288:FKV524317 FUR524288:FUR524317 GEN524288:GEN524317 GOJ524288:GOJ524317 GYF524288:GYF524317 HIB524288:HIB524317 HRX524288:HRX524317 IBT524288:IBT524317 ILP524288:ILP524317 IVL524288:IVL524317 JFH524288:JFH524317 JPD524288:JPD524317 JYZ524288:JYZ524317 KIV524288:KIV524317 KSR524288:KSR524317 LCN524288:LCN524317 LMJ524288:LMJ524317 LWF524288:LWF524317 MGB524288:MGB524317 MPX524288:MPX524317 MZT524288:MZT524317 NJP524288:NJP524317 NTL524288:NTL524317 ODH524288:ODH524317 OND524288:OND524317 OWZ524288:OWZ524317 PGV524288:PGV524317 PQR524288:PQR524317 QAN524288:QAN524317 QKJ524288:QKJ524317 QUF524288:QUF524317 REB524288:REB524317 RNX524288:RNX524317 RXT524288:RXT524317 SHP524288:SHP524317 SRL524288:SRL524317 TBH524288:TBH524317 TLD524288:TLD524317 TUZ524288:TUZ524317 UEV524288:UEV524317 UOR524288:UOR524317 UYN524288:UYN524317 VIJ524288:VIJ524317 VSF524288:VSF524317 WCB524288:WCB524317 WLX524288:WLX524317 WVT524288:WVT524317 JH589824:JH589853 TD589824:TD589853 ACZ589824:ACZ589853 AMV589824:AMV589853 AWR589824:AWR589853 BGN589824:BGN589853 BQJ589824:BQJ589853 CAF589824:CAF589853 CKB589824:CKB589853 CTX589824:CTX589853 DDT589824:DDT589853 DNP589824:DNP589853 DXL589824:DXL589853 EHH589824:EHH589853 ERD589824:ERD589853 FAZ589824:FAZ589853 FKV589824:FKV589853 FUR589824:FUR589853 GEN589824:GEN589853 GOJ589824:GOJ589853 GYF589824:GYF589853 HIB589824:HIB589853 HRX589824:HRX589853 IBT589824:IBT589853 ILP589824:ILP589853 IVL589824:IVL589853 JFH589824:JFH589853 JPD589824:JPD589853 JYZ589824:JYZ589853 KIV589824:KIV589853 KSR589824:KSR589853 LCN589824:LCN589853 LMJ589824:LMJ589853 LWF589824:LWF589853 MGB589824:MGB589853 MPX589824:MPX589853 MZT589824:MZT589853 NJP589824:NJP589853 NTL589824:NTL589853 ODH589824:ODH589853 OND589824:OND589853 OWZ589824:OWZ589853 PGV589824:PGV589853 PQR589824:PQR589853 QAN589824:QAN589853 QKJ589824:QKJ589853 QUF589824:QUF589853 REB589824:REB589853 RNX589824:RNX589853 RXT589824:RXT589853 SHP589824:SHP589853 SRL589824:SRL589853 TBH589824:TBH589853 TLD589824:TLD589853 TUZ589824:TUZ589853 UEV589824:UEV589853 UOR589824:UOR589853 UYN589824:UYN589853 VIJ589824:VIJ589853 VSF589824:VSF589853 WCB589824:WCB589853 WLX589824:WLX589853 WVT589824:WVT589853 JH655360:JH655389 TD655360:TD655389 ACZ655360:ACZ655389 AMV655360:AMV655389 AWR655360:AWR655389 BGN655360:BGN655389 BQJ655360:BQJ655389 CAF655360:CAF655389 CKB655360:CKB655389 CTX655360:CTX655389 DDT655360:DDT655389 DNP655360:DNP655389 DXL655360:DXL655389 EHH655360:EHH655389 ERD655360:ERD655389 FAZ655360:FAZ655389 FKV655360:FKV655389 FUR655360:FUR655389 GEN655360:GEN655389 GOJ655360:GOJ655389 GYF655360:GYF655389 HIB655360:HIB655389 HRX655360:HRX655389 IBT655360:IBT655389 ILP655360:ILP655389 IVL655360:IVL655389 JFH655360:JFH655389 JPD655360:JPD655389 JYZ655360:JYZ655389 KIV655360:KIV655389 KSR655360:KSR655389 LCN655360:LCN655389 LMJ655360:LMJ655389 LWF655360:LWF655389 MGB655360:MGB655389 MPX655360:MPX655389 MZT655360:MZT655389 NJP655360:NJP655389 NTL655360:NTL655389 ODH655360:ODH655389 OND655360:OND655389 OWZ655360:OWZ655389 PGV655360:PGV655389 PQR655360:PQR655389 QAN655360:QAN655389 QKJ655360:QKJ655389 QUF655360:QUF655389 REB655360:REB655389 RNX655360:RNX655389 RXT655360:RXT655389 SHP655360:SHP655389 SRL655360:SRL655389 TBH655360:TBH655389 TLD655360:TLD655389 TUZ655360:TUZ655389 UEV655360:UEV655389 UOR655360:UOR655389 UYN655360:UYN655389 VIJ655360:VIJ655389 VSF655360:VSF655389 WCB655360:WCB655389 WLX655360:WLX655389 WVT655360:WVT655389 JH720896:JH720925 TD720896:TD720925 ACZ720896:ACZ720925 AMV720896:AMV720925 AWR720896:AWR720925 BGN720896:BGN720925 BQJ720896:BQJ720925 CAF720896:CAF720925 CKB720896:CKB720925 CTX720896:CTX720925 DDT720896:DDT720925 DNP720896:DNP720925 DXL720896:DXL720925 EHH720896:EHH720925 ERD720896:ERD720925 FAZ720896:FAZ720925 FKV720896:FKV720925 FUR720896:FUR720925 GEN720896:GEN720925 GOJ720896:GOJ720925 GYF720896:GYF720925 HIB720896:HIB720925 HRX720896:HRX720925 IBT720896:IBT720925 ILP720896:ILP720925 IVL720896:IVL720925 JFH720896:JFH720925 JPD720896:JPD720925 JYZ720896:JYZ720925 KIV720896:KIV720925 KSR720896:KSR720925 LCN720896:LCN720925 LMJ720896:LMJ720925 LWF720896:LWF720925 MGB720896:MGB720925 MPX720896:MPX720925 MZT720896:MZT720925 NJP720896:NJP720925 NTL720896:NTL720925 ODH720896:ODH720925 OND720896:OND720925 OWZ720896:OWZ720925 PGV720896:PGV720925 PQR720896:PQR720925 QAN720896:QAN720925 QKJ720896:QKJ720925 QUF720896:QUF720925 REB720896:REB720925 RNX720896:RNX720925 RXT720896:RXT720925 SHP720896:SHP720925 SRL720896:SRL720925 TBH720896:TBH720925 TLD720896:TLD720925 TUZ720896:TUZ720925 UEV720896:UEV720925 UOR720896:UOR720925 UYN720896:UYN720925 VIJ720896:VIJ720925 VSF720896:VSF720925 WCB720896:WCB720925 WLX720896:WLX720925 WVT720896:WVT720925 JH786432:JH786461 TD786432:TD786461 ACZ786432:ACZ786461 AMV786432:AMV786461 AWR786432:AWR786461 BGN786432:BGN786461 BQJ786432:BQJ786461 CAF786432:CAF786461 CKB786432:CKB786461 CTX786432:CTX786461 DDT786432:DDT786461 DNP786432:DNP786461 DXL786432:DXL786461 EHH786432:EHH786461 ERD786432:ERD786461 FAZ786432:FAZ786461 FKV786432:FKV786461 FUR786432:FUR786461 GEN786432:GEN786461 GOJ786432:GOJ786461 GYF786432:GYF786461 HIB786432:HIB786461 HRX786432:HRX786461 IBT786432:IBT786461 ILP786432:ILP786461 IVL786432:IVL786461 JFH786432:JFH786461 JPD786432:JPD786461 JYZ786432:JYZ786461 KIV786432:KIV786461 KSR786432:KSR786461 LCN786432:LCN786461 LMJ786432:LMJ786461 LWF786432:LWF786461 MGB786432:MGB786461 MPX786432:MPX786461 MZT786432:MZT786461 NJP786432:NJP786461 NTL786432:NTL786461 ODH786432:ODH786461 OND786432:OND786461 OWZ786432:OWZ786461 PGV786432:PGV786461 PQR786432:PQR786461 QAN786432:QAN786461 QKJ786432:QKJ786461 QUF786432:QUF786461 REB786432:REB786461 RNX786432:RNX786461 RXT786432:RXT786461 SHP786432:SHP786461 SRL786432:SRL786461 TBH786432:TBH786461 TLD786432:TLD786461 TUZ786432:TUZ786461 UEV786432:UEV786461 UOR786432:UOR786461 UYN786432:UYN786461 VIJ786432:VIJ786461 VSF786432:VSF786461 WCB786432:WCB786461 WLX786432:WLX786461 WVT786432:WVT786461 JH851968:JH851997 TD851968:TD851997 ACZ851968:ACZ851997 AMV851968:AMV851997 AWR851968:AWR851997 BGN851968:BGN851997 BQJ851968:BQJ851997 CAF851968:CAF851997 CKB851968:CKB851997 CTX851968:CTX851997 DDT851968:DDT851997 DNP851968:DNP851997 DXL851968:DXL851997 EHH851968:EHH851997 ERD851968:ERD851997 FAZ851968:FAZ851997 FKV851968:FKV851997 FUR851968:FUR851997 GEN851968:GEN851997 GOJ851968:GOJ851997 GYF851968:GYF851997 HIB851968:HIB851997 HRX851968:HRX851997 IBT851968:IBT851997 ILP851968:ILP851997 IVL851968:IVL851997 JFH851968:JFH851997 JPD851968:JPD851997 JYZ851968:JYZ851997 KIV851968:KIV851997 KSR851968:KSR851997 LCN851968:LCN851997 LMJ851968:LMJ851997 LWF851968:LWF851997 MGB851968:MGB851997 MPX851968:MPX851997 MZT851968:MZT851997 NJP851968:NJP851997 NTL851968:NTL851997 ODH851968:ODH851997 OND851968:OND851997 OWZ851968:OWZ851997 PGV851968:PGV851997 PQR851968:PQR851997 QAN851968:QAN851997 QKJ851968:QKJ851997 QUF851968:QUF851997 REB851968:REB851997 RNX851968:RNX851997 RXT851968:RXT851997 SHP851968:SHP851997 SRL851968:SRL851997 TBH851968:TBH851997 TLD851968:TLD851997 TUZ851968:TUZ851997 UEV851968:UEV851997 UOR851968:UOR851997 UYN851968:UYN851997 VIJ851968:VIJ851997 VSF851968:VSF851997 WCB851968:WCB851997 WLX851968:WLX851997 WVT851968:WVT851997 JH917504:JH917533 TD917504:TD917533 ACZ917504:ACZ917533 AMV917504:AMV917533 AWR917504:AWR917533 BGN917504:BGN917533 BQJ917504:BQJ917533 CAF917504:CAF917533 CKB917504:CKB917533 CTX917504:CTX917533 DDT917504:DDT917533 DNP917504:DNP917533 DXL917504:DXL917533 EHH917504:EHH917533 ERD917504:ERD917533 FAZ917504:FAZ917533 FKV917504:FKV917533 FUR917504:FUR917533 GEN917504:GEN917533 GOJ917504:GOJ917533 GYF917504:GYF917533 HIB917504:HIB917533 HRX917504:HRX917533 IBT917504:IBT917533 ILP917504:ILP917533 IVL917504:IVL917533 JFH917504:JFH917533 JPD917504:JPD917533 JYZ917504:JYZ917533 KIV917504:KIV917533 KSR917504:KSR917533 LCN917504:LCN917533 LMJ917504:LMJ917533 LWF917504:LWF917533 MGB917504:MGB917533 MPX917504:MPX917533 MZT917504:MZT917533 NJP917504:NJP917533 NTL917504:NTL917533 ODH917504:ODH917533 OND917504:OND917533 OWZ917504:OWZ917533 PGV917504:PGV917533 PQR917504:PQR917533 QAN917504:QAN917533 QKJ917504:QKJ917533 QUF917504:QUF917533 REB917504:REB917533 RNX917504:RNX917533 RXT917504:RXT917533 SHP917504:SHP917533 SRL917504:SRL917533 TBH917504:TBH917533 TLD917504:TLD917533 TUZ917504:TUZ917533 UEV917504:UEV917533 UOR917504:UOR917533 UYN917504:UYN917533 VIJ917504:VIJ917533 VSF917504:VSF917533 WCB917504:WCB917533 WLX917504:WLX917533 WVT917504:WVT917533 JH983040:JH983069 TD983040:TD983069 ACZ983040:ACZ983069 AMV983040:AMV983069 AWR983040:AWR983069 BGN983040:BGN983069 BQJ983040:BQJ983069 CAF983040:CAF983069 CKB983040:CKB983069 CTX983040:CTX983069 DDT983040:DDT983069 DNP983040:DNP983069 DXL983040:DXL983069 EHH983040:EHH983069 ERD983040:ERD983069 FAZ983040:FAZ983069 FKV983040:FKV983069 FUR983040:FUR983069 GEN983040:GEN983069 GOJ983040:GOJ983069 GYF983040:GYF983069 HIB983040:HIB983069 HRX983040:HRX983069 IBT983040:IBT983069 ILP983040:ILP983069 IVL983040:IVL983069 JFH983040:JFH983069 JPD983040:JPD983069 JYZ983040:JYZ983069 KIV983040:KIV983069 KSR983040:KSR983069 LCN983040:LCN983069 LMJ983040:LMJ983069 LWF983040:LWF983069 MGB983040:MGB983069 MPX983040:MPX983069 MZT983040:MZT983069 NJP983040:NJP983069 NTL983040:NTL983069 ODH983040:ODH983069 OND983040:OND983069 OWZ983040:OWZ983069 PGV983040:PGV983069 PQR983040:PQR983069 QAN983040:QAN983069 QKJ983040:QKJ983069 QUF983040:QUF983069 REB983040:REB983069 RNX983040:RNX983069 RXT983040:RXT983069 SHP983040:SHP983069 SRL983040:SRL983069 TBH983040:TBH983069 TLD983040:TLD983069 TUZ983040:TUZ983069 UEV983040:UEV983069 UOR983040:UOR983069 UYN983040:UYN983069 VIJ983040:VIJ983069 VSF983040:VSF983069 WCB983040:WCB983069 WLX983040:WLX983069 WVT983040:WVT983069 JD6:JD29 SZ6:SZ29 ACV6:ACV29 AMR6:AMR29 AWN6:AWN29 BGJ6:BGJ29 BQF6:BQF29 CAB6:CAB29 CJX6:CJX29 CTT6:CTT29 DDP6:DDP29 DNL6:DNL29 DXH6:DXH29 EHD6:EHD29 EQZ6:EQZ29 FAV6:FAV29 FKR6:FKR29 FUN6:FUN29 GEJ6:GEJ29 GOF6:GOF29 GYB6:GYB29 HHX6:HHX29 HRT6:HRT29 IBP6:IBP29 ILL6:ILL29 IVH6:IVH29 JFD6:JFD29 JOZ6:JOZ29 JYV6:JYV29 KIR6:KIR29 KSN6:KSN29 LCJ6:LCJ29 LMF6:LMF29 LWB6:LWB29 MFX6:MFX29 MPT6:MPT29 MZP6:MZP29 NJL6:NJL29 NTH6:NTH29 ODD6:ODD29 OMZ6:OMZ29 OWV6:OWV29 PGR6:PGR29 PQN6:PQN29 QAJ6:QAJ29 QKF6:QKF29 QUB6:QUB29 RDX6:RDX29 RNT6:RNT29 RXP6:RXP29 SHL6:SHL29 SRH6:SRH29 TBD6:TBD29 TKZ6:TKZ29 TUV6:TUV29 UER6:UER29 UON6:UON29 UYJ6:UYJ29 VIF6:VIF29 VSB6:VSB29 WBX6:WBX29 WLT6:WLT29 WVP6:WVP29" xr:uid="{83C497BE-C8D6-4AC4-BC4B-61BD16D3D6A2}">
      <formula1>"จันทราภรณ์, รัฏฏิการ์, คชเขม, มาร์ค,สมเด็"</formula1>
    </dataValidation>
    <dataValidation type="list" allowBlank="1" showInputMessage="1" showErrorMessage="1" sqref="WVU983040:WVU983069 JI65536:JI65565 TE65536:TE65565 ADA65536:ADA65565 AMW65536:AMW65565 AWS65536:AWS65565 BGO65536:BGO65565 BQK65536:BQK65565 CAG65536:CAG65565 CKC65536:CKC65565 CTY65536:CTY65565 DDU65536:DDU65565 DNQ65536:DNQ65565 DXM65536:DXM65565 EHI65536:EHI65565 ERE65536:ERE65565 FBA65536:FBA65565 FKW65536:FKW65565 FUS65536:FUS65565 GEO65536:GEO65565 GOK65536:GOK65565 GYG65536:GYG65565 HIC65536:HIC65565 HRY65536:HRY65565 IBU65536:IBU65565 ILQ65536:ILQ65565 IVM65536:IVM65565 JFI65536:JFI65565 JPE65536:JPE65565 JZA65536:JZA65565 KIW65536:KIW65565 KSS65536:KSS65565 LCO65536:LCO65565 LMK65536:LMK65565 LWG65536:LWG65565 MGC65536:MGC65565 MPY65536:MPY65565 MZU65536:MZU65565 NJQ65536:NJQ65565 NTM65536:NTM65565 ODI65536:ODI65565 ONE65536:ONE65565 OXA65536:OXA65565 PGW65536:PGW65565 PQS65536:PQS65565 QAO65536:QAO65565 QKK65536:QKK65565 QUG65536:QUG65565 REC65536:REC65565 RNY65536:RNY65565 RXU65536:RXU65565 SHQ65536:SHQ65565 SRM65536:SRM65565 TBI65536:TBI65565 TLE65536:TLE65565 TVA65536:TVA65565 UEW65536:UEW65565 UOS65536:UOS65565 UYO65536:UYO65565 VIK65536:VIK65565 VSG65536:VSG65565 WCC65536:WCC65565 WLY65536:WLY65565 WVU65536:WVU65565 JI131072:JI131101 TE131072:TE131101 ADA131072:ADA131101 AMW131072:AMW131101 AWS131072:AWS131101 BGO131072:BGO131101 BQK131072:BQK131101 CAG131072:CAG131101 CKC131072:CKC131101 CTY131072:CTY131101 DDU131072:DDU131101 DNQ131072:DNQ131101 DXM131072:DXM131101 EHI131072:EHI131101 ERE131072:ERE131101 FBA131072:FBA131101 FKW131072:FKW131101 FUS131072:FUS131101 GEO131072:GEO131101 GOK131072:GOK131101 GYG131072:GYG131101 HIC131072:HIC131101 HRY131072:HRY131101 IBU131072:IBU131101 ILQ131072:ILQ131101 IVM131072:IVM131101 JFI131072:JFI131101 JPE131072:JPE131101 JZA131072:JZA131101 KIW131072:KIW131101 KSS131072:KSS131101 LCO131072:LCO131101 LMK131072:LMK131101 LWG131072:LWG131101 MGC131072:MGC131101 MPY131072:MPY131101 MZU131072:MZU131101 NJQ131072:NJQ131101 NTM131072:NTM131101 ODI131072:ODI131101 ONE131072:ONE131101 OXA131072:OXA131101 PGW131072:PGW131101 PQS131072:PQS131101 QAO131072:QAO131101 QKK131072:QKK131101 QUG131072:QUG131101 REC131072:REC131101 RNY131072:RNY131101 RXU131072:RXU131101 SHQ131072:SHQ131101 SRM131072:SRM131101 TBI131072:TBI131101 TLE131072:TLE131101 TVA131072:TVA131101 UEW131072:UEW131101 UOS131072:UOS131101 UYO131072:UYO131101 VIK131072:VIK131101 VSG131072:VSG131101 WCC131072:WCC131101 WLY131072:WLY131101 WVU131072:WVU131101 JI196608:JI196637 TE196608:TE196637 ADA196608:ADA196637 AMW196608:AMW196637 AWS196608:AWS196637 BGO196608:BGO196637 BQK196608:BQK196637 CAG196608:CAG196637 CKC196608:CKC196637 CTY196608:CTY196637 DDU196608:DDU196637 DNQ196608:DNQ196637 DXM196608:DXM196637 EHI196608:EHI196637 ERE196608:ERE196637 FBA196608:FBA196637 FKW196608:FKW196637 FUS196608:FUS196637 GEO196608:GEO196637 GOK196608:GOK196637 GYG196608:GYG196637 HIC196608:HIC196637 HRY196608:HRY196637 IBU196608:IBU196637 ILQ196608:ILQ196637 IVM196608:IVM196637 JFI196608:JFI196637 JPE196608:JPE196637 JZA196608:JZA196637 KIW196608:KIW196637 KSS196608:KSS196637 LCO196608:LCO196637 LMK196608:LMK196637 LWG196608:LWG196637 MGC196608:MGC196637 MPY196608:MPY196637 MZU196608:MZU196637 NJQ196608:NJQ196637 NTM196608:NTM196637 ODI196608:ODI196637 ONE196608:ONE196637 OXA196608:OXA196637 PGW196608:PGW196637 PQS196608:PQS196637 QAO196608:QAO196637 QKK196608:QKK196637 QUG196608:QUG196637 REC196608:REC196637 RNY196608:RNY196637 RXU196608:RXU196637 SHQ196608:SHQ196637 SRM196608:SRM196637 TBI196608:TBI196637 TLE196608:TLE196637 TVA196608:TVA196637 UEW196608:UEW196637 UOS196608:UOS196637 UYO196608:UYO196637 VIK196608:VIK196637 VSG196608:VSG196637 WCC196608:WCC196637 WLY196608:WLY196637 WVU196608:WVU196637 JI262144:JI262173 TE262144:TE262173 ADA262144:ADA262173 AMW262144:AMW262173 AWS262144:AWS262173 BGO262144:BGO262173 BQK262144:BQK262173 CAG262144:CAG262173 CKC262144:CKC262173 CTY262144:CTY262173 DDU262144:DDU262173 DNQ262144:DNQ262173 DXM262144:DXM262173 EHI262144:EHI262173 ERE262144:ERE262173 FBA262144:FBA262173 FKW262144:FKW262173 FUS262144:FUS262173 GEO262144:GEO262173 GOK262144:GOK262173 GYG262144:GYG262173 HIC262144:HIC262173 HRY262144:HRY262173 IBU262144:IBU262173 ILQ262144:ILQ262173 IVM262144:IVM262173 JFI262144:JFI262173 JPE262144:JPE262173 JZA262144:JZA262173 KIW262144:KIW262173 KSS262144:KSS262173 LCO262144:LCO262173 LMK262144:LMK262173 LWG262144:LWG262173 MGC262144:MGC262173 MPY262144:MPY262173 MZU262144:MZU262173 NJQ262144:NJQ262173 NTM262144:NTM262173 ODI262144:ODI262173 ONE262144:ONE262173 OXA262144:OXA262173 PGW262144:PGW262173 PQS262144:PQS262173 QAO262144:QAO262173 QKK262144:QKK262173 QUG262144:QUG262173 REC262144:REC262173 RNY262144:RNY262173 RXU262144:RXU262173 SHQ262144:SHQ262173 SRM262144:SRM262173 TBI262144:TBI262173 TLE262144:TLE262173 TVA262144:TVA262173 UEW262144:UEW262173 UOS262144:UOS262173 UYO262144:UYO262173 VIK262144:VIK262173 VSG262144:VSG262173 WCC262144:WCC262173 WLY262144:WLY262173 WVU262144:WVU262173 JI327680:JI327709 TE327680:TE327709 ADA327680:ADA327709 AMW327680:AMW327709 AWS327680:AWS327709 BGO327680:BGO327709 BQK327680:BQK327709 CAG327680:CAG327709 CKC327680:CKC327709 CTY327680:CTY327709 DDU327680:DDU327709 DNQ327680:DNQ327709 DXM327680:DXM327709 EHI327680:EHI327709 ERE327680:ERE327709 FBA327680:FBA327709 FKW327680:FKW327709 FUS327680:FUS327709 GEO327680:GEO327709 GOK327680:GOK327709 GYG327680:GYG327709 HIC327680:HIC327709 HRY327680:HRY327709 IBU327680:IBU327709 ILQ327680:ILQ327709 IVM327680:IVM327709 JFI327680:JFI327709 JPE327680:JPE327709 JZA327680:JZA327709 KIW327680:KIW327709 KSS327680:KSS327709 LCO327680:LCO327709 LMK327680:LMK327709 LWG327680:LWG327709 MGC327680:MGC327709 MPY327680:MPY327709 MZU327680:MZU327709 NJQ327680:NJQ327709 NTM327680:NTM327709 ODI327680:ODI327709 ONE327680:ONE327709 OXA327680:OXA327709 PGW327680:PGW327709 PQS327680:PQS327709 QAO327680:QAO327709 QKK327680:QKK327709 QUG327680:QUG327709 REC327680:REC327709 RNY327680:RNY327709 RXU327680:RXU327709 SHQ327680:SHQ327709 SRM327680:SRM327709 TBI327680:TBI327709 TLE327680:TLE327709 TVA327680:TVA327709 UEW327680:UEW327709 UOS327680:UOS327709 UYO327680:UYO327709 VIK327680:VIK327709 VSG327680:VSG327709 WCC327680:WCC327709 WLY327680:WLY327709 WVU327680:WVU327709 JI393216:JI393245 TE393216:TE393245 ADA393216:ADA393245 AMW393216:AMW393245 AWS393216:AWS393245 BGO393216:BGO393245 BQK393216:BQK393245 CAG393216:CAG393245 CKC393216:CKC393245 CTY393216:CTY393245 DDU393216:DDU393245 DNQ393216:DNQ393245 DXM393216:DXM393245 EHI393216:EHI393245 ERE393216:ERE393245 FBA393216:FBA393245 FKW393216:FKW393245 FUS393216:FUS393245 GEO393216:GEO393245 GOK393216:GOK393245 GYG393216:GYG393245 HIC393216:HIC393245 HRY393216:HRY393245 IBU393216:IBU393245 ILQ393216:ILQ393245 IVM393216:IVM393245 JFI393216:JFI393245 JPE393216:JPE393245 JZA393216:JZA393245 KIW393216:KIW393245 KSS393216:KSS393245 LCO393216:LCO393245 LMK393216:LMK393245 LWG393216:LWG393245 MGC393216:MGC393245 MPY393216:MPY393245 MZU393216:MZU393245 NJQ393216:NJQ393245 NTM393216:NTM393245 ODI393216:ODI393245 ONE393216:ONE393245 OXA393216:OXA393245 PGW393216:PGW393245 PQS393216:PQS393245 QAO393216:QAO393245 QKK393216:QKK393245 QUG393216:QUG393245 REC393216:REC393245 RNY393216:RNY393245 RXU393216:RXU393245 SHQ393216:SHQ393245 SRM393216:SRM393245 TBI393216:TBI393245 TLE393216:TLE393245 TVA393216:TVA393245 UEW393216:UEW393245 UOS393216:UOS393245 UYO393216:UYO393245 VIK393216:VIK393245 VSG393216:VSG393245 WCC393216:WCC393245 WLY393216:WLY393245 WVU393216:WVU393245 JI458752:JI458781 TE458752:TE458781 ADA458752:ADA458781 AMW458752:AMW458781 AWS458752:AWS458781 BGO458752:BGO458781 BQK458752:BQK458781 CAG458752:CAG458781 CKC458752:CKC458781 CTY458752:CTY458781 DDU458752:DDU458781 DNQ458752:DNQ458781 DXM458752:DXM458781 EHI458752:EHI458781 ERE458752:ERE458781 FBA458752:FBA458781 FKW458752:FKW458781 FUS458752:FUS458781 GEO458752:GEO458781 GOK458752:GOK458781 GYG458752:GYG458781 HIC458752:HIC458781 HRY458752:HRY458781 IBU458752:IBU458781 ILQ458752:ILQ458781 IVM458752:IVM458781 JFI458752:JFI458781 JPE458752:JPE458781 JZA458752:JZA458781 KIW458752:KIW458781 KSS458752:KSS458781 LCO458752:LCO458781 LMK458752:LMK458781 LWG458752:LWG458781 MGC458752:MGC458781 MPY458752:MPY458781 MZU458752:MZU458781 NJQ458752:NJQ458781 NTM458752:NTM458781 ODI458752:ODI458781 ONE458752:ONE458781 OXA458752:OXA458781 PGW458752:PGW458781 PQS458752:PQS458781 QAO458752:QAO458781 QKK458752:QKK458781 QUG458752:QUG458781 REC458752:REC458781 RNY458752:RNY458781 RXU458752:RXU458781 SHQ458752:SHQ458781 SRM458752:SRM458781 TBI458752:TBI458781 TLE458752:TLE458781 TVA458752:TVA458781 UEW458752:UEW458781 UOS458752:UOS458781 UYO458752:UYO458781 VIK458752:VIK458781 VSG458752:VSG458781 WCC458752:WCC458781 WLY458752:WLY458781 WVU458752:WVU458781 JI524288:JI524317 TE524288:TE524317 ADA524288:ADA524317 AMW524288:AMW524317 AWS524288:AWS524317 BGO524288:BGO524317 BQK524288:BQK524317 CAG524288:CAG524317 CKC524288:CKC524317 CTY524288:CTY524317 DDU524288:DDU524317 DNQ524288:DNQ524317 DXM524288:DXM524317 EHI524288:EHI524317 ERE524288:ERE524317 FBA524288:FBA524317 FKW524288:FKW524317 FUS524288:FUS524317 GEO524288:GEO524317 GOK524288:GOK524317 GYG524288:GYG524317 HIC524288:HIC524317 HRY524288:HRY524317 IBU524288:IBU524317 ILQ524288:ILQ524317 IVM524288:IVM524317 JFI524288:JFI524317 JPE524288:JPE524317 JZA524288:JZA524317 KIW524288:KIW524317 KSS524288:KSS524317 LCO524288:LCO524317 LMK524288:LMK524317 LWG524288:LWG524317 MGC524288:MGC524317 MPY524288:MPY524317 MZU524288:MZU524317 NJQ524288:NJQ524317 NTM524288:NTM524317 ODI524288:ODI524317 ONE524288:ONE524317 OXA524288:OXA524317 PGW524288:PGW524317 PQS524288:PQS524317 QAO524288:QAO524317 QKK524288:QKK524317 QUG524288:QUG524317 REC524288:REC524317 RNY524288:RNY524317 RXU524288:RXU524317 SHQ524288:SHQ524317 SRM524288:SRM524317 TBI524288:TBI524317 TLE524288:TLE524317 TVA524288:TVA524317 UEW524288:UEW524317 UOS524288:UOS524317 UYO524288:UYO524317 VIK524288:VIK524317 VSG524288:VSG524317 WCC524288:WCC524317 WLY524288:WLY524317 WVU524288:WVU524317 JI589824:JI589853 TE589824:TE589853 ADA589824:ADA589853 AMW589824:AMW589853 AWS589824:AWS589853 BGO589824:BGO589853 BQK589824:BQK589853 CAG589824:CAG589853 CKC589824:CKC589853 CTY589824:CTY589853 DDU589824:DDU589853 DNQ589824:DNQ589853 DXM589824:DXM589853 EHI589824:EHI589853 ERE589824:ERE589853 FBA589824:FBA589853 FKW589824:FKW589853 FUS589824:FUS589853 GEO589824:GEO589853 GOK589824:GOK589853 GYG589824:GYG589853 HIC589824:HIC589853 HRY589824:HRY589853 IBU589824:IBU589853 ILQ589824:ILQ589853 IVM589824:IVM589853 JFI589824:JFI589853 JPE589824:JPE589853 JZA589824:JZA589853 KIW589824:KIW589853 KSS589824:KSS589853 LCO589824:LCO589853 LMK589824:LMK589853 LWG589824:LWG589853 MGC589824:MGC589853 MPY589824:MPY589853 MZU589824:MZU589853 NJQ589824:NJQ589853 NTM589824:NTM589853 ODI589824:ODI589853 ONE589824:ONE589853 OXA589824:OXA589853 PGW589824:PGW589853 PQS589824:PQS589853 QAO589824:QAO589853 QKK589824:QKK589853 QUG589824:QUG589853 REC589824:REC589853 RNY589824:RNY589853 RXU589824:RXU589853 SHQ589824:SHQ589853 SRM589824:SRM589853 TBI589824:TBI589853 TLE589824:TLE589853 TVA589824:TVA589853 UEW589824:UEW589853 UOS589824:UOS589853 UYO589824:UYO589853 VIK589824:VIK589853 VSG589824:VSG589853 WCC589824:WCC589853 WLY589824:WLY589853 WVU589824:WVU589853 JI655360:JI655389 TE655360:TE655389 ADA655360:ADA655389 AMW655360:AMW655389 AWS655360:AWS655389 BGO655360:BGO655389 BQK655360:BQK655389 CAG655360:CAG655389 CKC655360:CKC655389 CTY655360:CTY655389 DDU655360:DDU655389 DNQ655360:DNQ655389 DXM655360:DXM655389 EHI655360:EHI655389 ERE655360:ERE655389 FBA655360:FBA655389 FKW655360:FKW655389 FUS655360:FUS655389 GEO655360:GEO655389 GOK655360:GOK655389 GYG655360:GYG655389 HIC655360:HIC655389 HRY655360:HRY655389 IBU655360:IBU655389 ILQ655360:ILQ655389 IVM655360:IVM655389 JFI655360:JFI655389 JPE655360:JPE655389 JZA655360:JZA655389 KIW655360:KIW655389 KSS655360:KSS655389 LCO655360:LCO655389 LMK655360:LMK655389 LWG655360:LWG655389 MGC655360:MGC655389 MPY655360:MPY655389 MZU655360:MZU655389 NJQ655360:NJQ655389 NTM655360:NTM655389 ODI655360:ODI655389 ONE655360:ONE655389 OXA655360:OXA655389 PGW655360:PGW655389 PQS655360:PQS655389 QAO655360:QAO655389 QKK655360:QKK655389 QUG655360:QUG655389 REC655360:REC655389 RNY655360:RNY655389 RXU655360:RXU655389 SHQ655360:SHQ655389 SRM655360:SRM655389 TBI655360:TBI655389 TLE655360:TLE655389 TVA655360:TVA655389 UEW655360:UEW655389 UOS655360:UOS655389 UYO655360:UYO655389 VIK655360:VIK655389 VSG655360:VSG655389 WCC655360:WCC655389 WLY655360:WLY655389 WVU655360:WVU655389 JI720896:JI720925 TE720896:TE720925 ADA720896:ADA720925 AMW720896:AMW720925 AWS720896:AWS720925 BGO720896:BGO720925 BQK720896:BQK720925 CAG720896:CAG720925 CKC720896:CKC720925 CTY720896:CTY720925 DDU720896:DDU720925 DNQ720896:DNQ720925 DXM720896:DXM720925 EHI720896:EHI720925 ERE720896:ERE720925 FBA720896:FBA720925 FKW720896:FKW720925 FUS720896:FUS720925 GEO720896:GEO720925 GOK720896:GOK720925 GYG720896:GYG720925 HIC720896:HIC720925 HRY720896:HRY720925 IBU720896:IBU720925 ILQ720896:ILQ720925 IVM720896:IVM720925 JFI720896:JFI720925 JPE720896:JPE720925 JZA720896:JZA720925 KIW720896:KIW720925 KSS720896:KSS720925 LCO720896:LCO720925 LMK720896:LMK720925 LWG720896:LWG720925 MGC720896:MGC720925 MPY720896:MPY720925 MZU720896:MZU720925 NJQ720896:NJQ720925 NTM720896:NTM720925 ODI720896:ODI720925 ONE720896:ONE720925 OXA720896:OXA720925 PGW720896:PGW720925 PQS720896:PQS720925 QAO720896:QAO720925 QKK720896:QKK720925 QUG720896:QUG720925 REC720896:REC720925 RNY720896:RNY720925 RXU720896:RXU720925 SHQ720896:SHQ720925 SRM720896:SRM720925 TBI720896:TBI720925 TLE720896:TLE720925 TVA720896:TVA720925 UEW720896:UEW720925 UOS720896:UOS720925 UYO720896:UYO720925 VIK720896:VIK720925 VSG720896:VSG720925 WCC720896:WCC720925 WLY720896:WLY720925 WVU720896:WVU720925 JI786432:JI786461 TE786432:TE786461 ADA786432:ADA786461 AMW786432:AMW786461 AWS786432:AWS786461 BGO786432:BGO786461 BQK786432:BQK786461 CAG786432:CAG786461 CKC786432:CKC786461 CTY786432:CTY786461 DDU786432:DDU786461 DNQ786432:DNQ786461 DXM786432:DXM786461 EHI786432:EHI786461 ERE786432:ERE786461 FBA786432:FBA786461 FKW786432:FKW786461 FUS786432:FUS786461 GEO786432:GEO786461 GOK786432:GOK786461 GYG786432:GYG786461 HIC786432:HIC786461 HRY786432:HRY786461 IBU786432:IBU786461 ILQ786432:ILQ786461 IVM786432:IVM786461 JFI786432:JFI786461 JPE786432:JPE786461 JZA786432:JZA786461 KIW786432:KIW786461 KSS786432:KSS786461 LCO786432:LCO786461 LMK786432:LMK786461 LWG786432:LWG786461 MGC786432:MGC786461 MPY786432:MPY786461 MZU786432:MZU786461 NJQ786432:NJQ786461 NTM786432:NTM786461 ODI786432:ODI786461 ONE786432:ONE786461 OXA786432:OXA786461 PGW786432:PGW786461 PQS786432:PQS786461 QAO786432:QAO786461 QKK786432:QKK786461 QUG786432:QUG786461 REC786432:REC786461 RNY786432:RNY786461 RXU786432:RXU786461 SHQ786432:SHQ786461 SRM786432:SRM786461 TBI786432:TBI786461 TLE786432:TLE786461 TVA786432:TVA786461 UEW786432:UEW786461 UOS786432:UOS786461 UYO786432:UYO786461 VIK786432:VIK786461 VSG786432:VSG786461 WCC786432:WCC786461 WLY786432:WLY786461 WVU786432:WVU786461 JI851968:JI851997 TE851968:TE851997 ADA851968:ADA851997 AMW851968:AMW851997 AWS851968:AWS851997 BGO851968:BGO851997 BQK851968:BQK851997 CAG851968:CAG851997 CKC851968:CKC851997 CTY851968:CTY851997 DDU851968:DDU851997 DNQ851968:DNQ851997 DXM851968:DXM851997 EHI851968:EHI851997 ERE851968:ERE851997 FBA851968:FBA851997 FKW851968:FKW851997 FUS851968:FUS851997 GEO851968:GEO851997 GOK851968:GOK851997 GYG851968:GYG851997 HIC851968:HIC851997 HRY851968:HRY851997 IBU851968:IBU851997 ILQ851968:ILQ851997 IVM851968:IVM851997 JFI851968:JFI851997 JPE851968:JPE851997 JZA851968:JZA851997 KIW851968:KIW851997 KSS851968:KSS851997 LCO851968:LCO851997 LMK851968:LMK851997 LWG851968:LWG851997 MGC851968:MGC851997 MPY851968:MPY851997 MZU851968:MZU851997 NJQ851968:NJQ851997 NTM851968:NTM851997 ODI851968:ODI851997 ONE851968:ONE851997 OXA851968:OXA851997 PGW851968:PGW851997 PQS851968:PQS851997 QAO851968:QAO851997 QKK851968:QKK851997 QUG851968:QUG851997 REC851968:REC851997 RNY851968:RNY851997 RXU851968:RXU851997 SHQ851968:SHQ851997 SRM851968:SRM851997 TBI851968:TBI851997 TLE851968:TLE851997 TVA851968:TVA851997 UEW851968:UEW851997 UOS851968:UOS851997 UYO851968:UYO851997 VIK851968:VIK851997 VSG851968:VSG851997 WCC851968:WCC851997 WLY851968:WLY851997 WVU851968:WVU851997 JI917504:JI917533 TE917504:TE917533 ADA917504:ADA917533 AMW917504:AMW917533 AWS917504:AWS917533 BGO917504:BGO917533 BQK917504:BQK917533 CAG917504:CAG917533 CKC917504:CKC917533 CTY917504:CTY917533 DDU917504:DDU917533 DNQ917504:DNQ917533 DXM917504:DXM917533 EHI917504:EHI917533 ERE917504:ERE917533 FBA917504:FBA917533 FKW917504:FKW917533 FUS917504:FUS917533 GEO917504:GEO917533 GOK917504:GOK917533 GYG917504:GYG917533 HIC917504:HIC917533 HRY917504:HRY917533 IBU917504:IBU917533 ILQ917504:ILQ917533 IVM917504:IVM917533 JFI917504:JFI917533 JPE917504:JPE917533 JZA917504:JZA917533 KIW917504:KIW917533 KSS917504:KSS917533 LCO917504:LCO917533 LMK917504:LMK917533 LWG917504:LWG917533 MGC917504:MGC917533 MPY917504:MPY917533 MZU917504:MZU917533 NJQ917504:NJQ917533 NTM917504:NTM917533 ODI917504:ODI917533 ONE917504:ONE917533 OXA917504:OXA917533 PGW917504:PGW917533 PQS917504:PQS917533 QAO917504:QAO917533 QKK917504:QKK917533 QUG917504:QUG917533 REC917504:REC917533 RNY917504:RNY917533 RXU917504:RXU917533 SHQ917504:SHQ917533 SRM917504:SRM917533 TBI917504:TBI917533 TLE917504:TLE917533 TVA917504:TVA917533 UEW917504:UEW917533 UOS917504:UOS917533 UYO917504:UYO917533 VIK917504:VIK917533 VSG917504:VSG917533 WCC917504:WCC917533 WLY917504:WLY917533 WVU917504:WVU917533 JI983040:JI983069 TE983040:TE983069 ADA983040:ADA983069 AMW983040:AMW983069 AWS983040:AWS983069 BGO983040:BGO983069 BQK983040:BQK983069 CAG983040:CAG983069 CKC983040:CKC983069 CTY983040:CTY983069 DDU983040:DDU983069 DNQ983040:DNQ983069 DXM983040:DXM983069 EHI983040:EHI983069 ERE983040:ERE983069 FBA983040:FBA983069 FKW983040:FKW983069 FUS983040:FUS983069 GEO983040:GEO983069 GOK983040:GOK983069 GYG983040:GYG983069 HIC983040:HIC983069 HRY983040:HRY983069 IBU983040:IBU983069 ILQ983040:ILQ983069 IVM983040:IVM983069 JFI983040:JFI983069 JPE983040:JPE983069 JZA983040:JZA983069 KIW983040:KIW983069 KSS983040:KSS983069 LCO983040:LCO983069 LMK983040:LMK983069 LWG983040:LWG983069 MGC983040:MGC983069 MPY983040:MPY983069 MZU983040:MZU983069 NJQ983040:NJQ983069 NTM983040:NTM983069 ODI983040:ODI983069 ONE983040:ONE983069 OXA983040:OXA983069 PGW983040:PGW983069 PQS983040:PQS983069 QAO983040:QAO983069 QKK983040:QKK983069 QUG983040:QUG983069 REC983040:REC983069 RNY983040:RNY983069 RXU983040:RXU983069 SHQ983040:SHQ983069 SRM983040:SRM983069 TBI983040:TBI983069 TLE983040:TLE983069 TVA983040:TVA983069 UEW983040:UEW983069 UOS983040:UOS983069 UYO983040:UYO983069 VIK983040:VIK983069 VSG983040:VSG983069 WCC983040:WCC983069 WLY983040:WLY983069 S26 T25:T29 U25:U26 S28:S29 U28:U29 TA6:TA29 ACW6:ACW29 AMS6:AMS29 AWO6:AWO29 BGK6:BGK29 BQG6:BQG29 CAC6:CAC29 CJY6:CJY29 CTU6:CTU29 DDQ6:DDQ29 DNM6:DNM29 DXI6:DXI29 EHE6:EHE29 ERA6:ERA29 FAW6:FAW29 FKS6:FKS29 FUO6:FUO29 GEK6:GEK29 GOG6:GOG29 GYC6:GYC29 HHY6:HHY29 HRU6:HRU29 IBQ6:IBQ29 ILM6:ILM29 IVI6:IVI29 JFE6:JFE29 JPA6:JPA29 JYW6:JYW29 KIS6:KIS29 KSO6:KSO29 LCK6:LCK29 LMG6:LMG29 LWC6:LWC29 MFY6:MFY29 MPU6:MPU29 MZQ6:MZQ29 NJM6:NJM29 NTI6:NTI29 ODE6:ODE29 ONA6:ONA29 OWW6:OWW29 PGS6:PGS29 PQO6:PQO29 QAK6:QAK29 QKG6:QKG29 QUC6:QUC29 RDY6:RDY29 RNU6:RNU29 RXQ6:RXQ29 SHM6:SHM29 SRI6:SRI29 TBE6:TBE29 TLA6:TLA29 TUW6:TUW29 UES6:UES29 UOO6:UOO29 UYK6:UYK29 VIG6:VIG29 VSC6:VSC29 WBY6:WBY29 WLU6:WLU29 WVQ6:WVQ29 JE6:JE29" xr:uid="{CE7D59A6-5205-417F-AFDE-F860C4D4BFA3}">
      <formula1>"สมเด็จ, มานพ, นิคม, คลองเตย,"</formula1>
    </dataValidation>
    <dataValidation type="list" allowBlank="1" showInputMessage="1" showErrorMessage="1" sqref="WVC983036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32:B65532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A131068:B131068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A196604:B196604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A262140:B262140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A327676:B327676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A393212:B393212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A458748:B458748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A524284:B524284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A589820:B589820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A655356:B655356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A720892:B720892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A786428:B786428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A851964:B851964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A917500:B917500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A983036:B983036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15:M1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4BCCE3B-5B14-4FDA-82E7-7220D14035D6}">
          <x14:formula1>
            <xm:f>Ref!$B$2:$B$18</xm:f>
          </x14:formula1>
          <xm:sqref>D6 D27 D15 D18 D21 D24 D9 D12</xm:sqref>
        </x14:dataValidation>
        <x14:dataValidation type="list" allowBlank="1" showInputMessage="1" showErrorMessage="1" xr:uid="{E5CAC25B-5580-4F9A-835D-46D5288DD975}">
          <x14:formula1>
            <xm:f>Ref!$C$2:$C$16</xm:f>
          </x14:formula1>
          <xm:sqref>E6 E21 E18 E12 E24 E27 E9 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95"/>
  <sheetViews>
    <sheetView topLeftCell="A49" zoomScale="80" zoomScaleNormal="80" workbookViewId="0">
      <selection activeCell="G22" sqref="G22"/>
    </sheetView>
  </sheetViews>
  <sheetFormatPr defaultColWidth="0" defaultRowHeight="0" customHeight="1" zeroHeight="1"/>
  <cols>
    <col min="1" max="1" width="6.88671875" style="58" customWidth="1"/>
    <col min="2" max="2" width="20.77734375" style="58" customWidth="1"/>
    <col min="3" max="3" width="23.6640625" style="58" bestFit="1" customWidth="1"/>
    <col min="4" max="4" width="31.77734375" style="58" customWidth="1"/>
    <col min="5" max="5" width="16.109375" style="67" bestFit="1" customWidth="1"/>
    <col min="6" max="6" width="14.109375" style="67" customWidth="1"/>
    <col min="7" max="7" width="16.5546875" style="67" bestFit="1" customWidth="1"/>
    <col min="8" max="8" width="14.5546875" style="67" customWidth="1"/>
    <col min="9" max="9" width="15" style="67" customWidth="1"/>
    <col min="10" max="10" width="16.6640625" style="67" customWidth="1"/>
    <col min="11" max="11" width="17.88671875" style="58" bestFit="1" customWidth="1"/>
    <col min="12" max="12" width="11.77734375" style="58" customWidth="1"/>
    <col min="13" max="13" width="17.77734375" style="58" customWidth="1"/>
    <col min="14" max="16" width="8" style="58" customWidth="1"/>
    <col min="17" max="256" width="9.109375" style="58" hidden="1"/>
    <col min="257" max="257" width="6.88671875" style="58" customWidth="1"/>
    <col min="258" max="258" width="23.33203125" style="58" customWidth="1"/>
    <col min="259" max="259" width="42.88671875" style="58" customWidth="1"/>
    <col min="260" max="260" width="14" style="58" customWidth="1"/>
    <col min="261" max="261" width="14.109375" style="58" customWidth="1"/>
    <col min="262" max="262" width="13" style="58" customWidth="1"/>
    <col min="263" max="263" width="14" style="58" customWidth="1"/>
    <col min="264" max="264" width="15" style="58" customWidth="1"/>
    <col min="265" max="265" width="15.21875" style="58"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45" width="0" style="58" hidden="1"/>
    <col min="16146" max="16384" width="9.109375" style="58" hidden="1"/>
  </cols>
  <sheetData>
    <row r="1" spans="1:1294" s="158" customFormat="1" ht="21.6" customHeight="1">
      <c r="A1" s="852" t="s">
        <v>63</v>
      </c>
      <c r="B1" s="852"/>
      <c r="C1" s="852"/>
      <c r="D1" s="852"/>
      <c r="E1" s="852"/>
      <c r="F1" s="852"/>
      <c r="G1" s="852"/>
      <c r="H1" s="852"/>
    </row>
    <row r="2" spans="1:1294" s="158" customFormat="1" ht="21.6" customHeight="1">
      <c r="A2" s="853" t="s">
        <v>115</v>
      </c>
      <c r="B2" s="853"/>
      <c r="C2" s="853"/>
      <c r="D2" s="853"/>
      <c r="E2" s="853"/>
      <c r="F2" s="853"/>
      <c r="G2" s="853"/>
      <c r="H2" s="853"/>
    </row>
    <row r="3" spans="1:1294" s="158" customFormat="1" ht="20.399999999999999" customHeight="1">
      <c r="A3" s="158" t="s">
        <v>8</v>
      </c>
      <c r="E3" s="160"/>
      <c r="F3" s="160"/>
      <c r="G3" s="192">
        <v>0</v>
      </c>
      <c r="H3" s="160"/>
    </row>
    <row r="4" spans="1:1294" s="45" customFormat="1" ht="36.6" customHeight="1">
      <c r="A4" s="46" t="s">
        <v>0</v>
      </c>
      <c r="B4" s="46" t="s">
        <v>2</v>
      </c>
      <c r="C4" s="46" t="s">
        <v>6</v>
      </c>
      <c r="D4" s="46" t="s">
        <v>9</v>
      </c>
      <c r="E4" s="48" t="s">
        <v>26</v>
      </c>
      <c r="F4" s="47" t="s">
        <v>3</v>
      </c>
      <c r="G4" s="48" t="s">
        <v>10</v>
      </c>
      <c r="H4" s="49" t="s">
        <v>4</v>
      </c>
    </row>
    <row r="5" spans="1:1294" s="45" customFormat="1" ht="19.05" customHeight="1">
      <c r="A5" s="50">
        <v>1</v>
      </c>
      <c r="B5" s="854" t="s">
        <v>19</v>
      </c>
      <c r="C5" s="72" t="s">
        <v>70</v>
      </c>
      <c r="D5" s="863" t="s">
        <v>65</v>
      </c>
      <c r="E5" s="79">
        <f>COUNTIFS(Table13514520105[[#All],[Sales]],"คุณนิมิต จุ้ยอยู่ทอง",Table13514520105[[#All],[รายการเบิก
คอมขาย]],"&gt;0")</f>
        <v>1</v>
      </c>
      <c r="F5" s="59">
        <f>SUMIF(Table13514520105[[#All],[Sales]],"คุณนิมิต จุ้ยอยู่ทอง",Table13514520105[[#All],[รายการเบิก
คอมขาย]])</f>
        <v>4542.0600000000004</v>
      </c>
      <c r="G5" s="75">
        <f t="shared" ref="G5:G16" si="0">F5*$G$3</f>
        <v>0</v>
      </c>
      <c r="H5" s="75">
        <f t="shared" ref="H5:H23" si="1">SUM(F5-G5)</f>
        <v>4542.0600000000004</v>
      </c>
      <c r="I5" s="138"/>
      <c r="J5" s="76"/>
    </row>
    <row r="6" spans="1:1294" s="45" customFormat="1" ht="19.05" customHeight="1">
      <c r="A6" s="50"/>
      <c r="B6" s="855"/>
      <c r="C6" s="72" t="s">
        <v>71</v>
      </c>
      <c r="D6" s="864"/>
      <c r="E6" s="79">
        <f>COUNTIFS(Table13514520105[[#All],[Sales]],"คุณธวัช มีแสง",Table13514520105[[#All],[รายการเบิก
คอมขาย]],"&gt;0")</f>
        <v>0</v>
      </c>
      <c r="F6" s="59">
        <f>SUMIF(Table13514520105[[#All],[Sales]],"คุณธวัช มีแสง",Table13514520105[[#All],[รายการเบิก
คอมขาย]])</f>
        <v>0</v>
      </c>
      <c r="G6" s="75">
        <f t="shared" si="0"/>
        <v>0</v>
      </c>
      <c r="H6" s="75">
        <f t="shared" si="1"/>
        <v>0</v>
      </c>
      <c r="I6" s="51"/>
      <c r="J6" s="77"/>
    </row>
    <row r="7" spans="1:1294" s="45" customFormat="1" ht="19.05" customHeight="1">
      <c r="A7" s="50"/>
      <c r="B7" s="855"/>
      <c r="C7" s="72" t="s">
        <v>72</v>
      </c>
      <c r="D7" s="864"/>
      <c r="E7" s="79">
        <f>COUNTIFS(Table13514520105[[#All],[Sales]],"คุณแดง มูลสองแคว",Table13514520105[[#All],[รายการเบิก
คอมขาย]],"&gt;0")</f>
        <v>1</v>
      </c>
      <c r="F7" s="59">
        <f>SUMIF(Table13514520105[[#All],[Sales]],"คุณแดง มูลสองแคว",Table13514520105[[#All],[รายการเบิก
คอมขาย]])</f>
        <v>4000</v>
      </c>
      <c r="G7" s="75">
        <f t="shared" si="0"/>
        <v>0</v>
      </c>
      <c r="H7" s="75">
        <f t="shared" si="1"/>
        <v>4000</v>
      </c>
      <c r="I7" s="51"/>
      <c r="J7" s="77"/>
    </row>
    <row r="8" spans="1:1294" s="45" customFormat="1" ht="19.05" customHeight="1">
      <c r="A8" s="50"/>
      <c r="B8" s="855"/>
      <c r="C8" s="135" t="s">
        <v>73</v>
      </c>
      <c r="D8" s="864"/>
      <c r="E8" s="79">
        <f>COUNTIFS(Table13514520105[[#All],[Sales]],"คุณนิยนต์ อยู่ทะเล",Table13514520105[[#All],[รายการเบิก
คอมขาย]],"&gt;0")</f>
        <v>0</v>
      </c>
      <c r="F8" s="59">
        <f>SUMIF(Table13514520105[[#All],[Sales]],"คุณนิยนต์ อยู่ทะเล",Table13514520105[[#All],[รายการเบิก
คอมขาย]])</f>
        <v>0</v>
      </c>
      <c r="G8" s="75">
        <f t="shared" ref="G8:G13" si="2">F8*$G$3</f>
        <v>0</v>
      </c>
      <c r="H8" s="75">
        <f t="shared" si="1"/>
        <v>0</v>
      </c>
      <c r="I8" s="51"/>
      <c r="J8" s="77"/>
    </row>
    <row r="9" spans="1:1294" s="45" customFormat="1" ht="19.05" customHeight="1">
      <c r="A9" s="50"/>
      <c r="B9" s="855"/>
      <c r="C9" s="141" t="s">
        <v>67</v>
      </c>
      <c r="D9" s="864"/>
      <c r="E9" s="79">
        <f>COUNTIFS(Table13514520105[[#All],[Sales]],"คุณรุ่งอรุณ อินบุญรอด",Table13514520105[[#All],[รายการเบิก
คอมขาย]],"&gt;0")</f>
        <v>1</v>
      </c>
      <c r="F9" s="59">
        <f>SUMIF(Table13514520105[[#All],[Sales]],"คุณรุ่งอรุณ อินบุญรอด",Table13514520105[[#All],[รายการเบิก
คอมขาย]])</f>
        <v>3500</v>
      </c>
      <c r="G9" s="75">
        <f t="shared" si="2"/>
        <v>0</v>
      </c>
      <c r="H9" s="75">
        <f t="shared" si="1"/>
        <v>3500</v>
      </c>
      <c r="I9" s="51"/>
      <c r="J9" s="77"/>
    </row>
    <row r="10" spans="1:1294" s="45" customFormat="1" ht="19.05" customHeight="1">
      <c r="A10" s="50"/>
      <c r="B10" s="855"/>
      <c r="C10" s="141" t="s">
        <v>68</v>
      </c>
      <c r="D10" s="864"/>
      <c r="E10" s="79">
        <f>COUNTIFS(Table13514520105[[#All],[Sales]],"คุณศศินาถ จุ้ยอยู่ทอง",Table13514520105[[#All],[รายการเบิก
คอมขาย]],"&gt;0")</f>
        <v>1</v>
      </c>
      <c r="F10" s="59">
        <f>SUMIF(Table13514520105[[#All],[Sales]],"คุณศศินาถ จุ้ยอยู่ทอง",Table13514520105[[#All],[รายการเบิก
คอมขาย]])</f>
        <v>6500</v>
      </c>
      <c r="G10" s="75">
        <f t="shared" si="2"/>
        <v>0</v>
      </c>
      <c r="H10" s="75">
        <f t="shared" si="1"/>
        <v>6500</v>
      </c>
      <c r="I10" s="51"/>
      <c r="J10" s="77"/>
    </row>
    <row r="11" spans="1:1294" s="45" customFormat="1" ht="19.05" customHeight="1">
      <c r="A11" s="50"/>
      <c r="B11" s="855"/>
      <c r="C11" s="190" t="s">
        <v>90</v>
      </c>
      <c r="D11" s="864"/>
      <c r="E11" s="79">
        <f>COUNTIFS(Table13514520105[[#All],[Sales]],"คุณณรงศ์ศักย์ เหล่ารัตนเวช",Table13514520105[[#All],[รายการเบิก
คอมขาย]],"&gt;0")</f>
        <v>0</v>
      </c>
      <c r="F11" s="59">
        <f>SUMIF(Table13514520105[[#All],[Sales]],"คุณณรงศ์ศักย์ เหล่ารัตนเวช",Table13514520105[[#All],[รายการเบิก
คอมขาย]])</f>
        <v>0</v>
      </c>
      <c r="G11" s="75">
        <f t="shared" si="2"/>
        <v>0</v>
      </c>
      <c r="H11" s="75">
        <f t="shared" si="1"/>
        <v>0</v>
      </c>
      <c r="I11" s="51"/>
      <c r="J11" s="77"/>
    </row>
    <row r="12" spans="1:1294" s="45" customFormat="1" ht="19.05" customHeight="1">
      <c r="A12" s="50"/>
      <c r="B12" s="855"/>
      <c r="C12" s="190" t="s">
        <v>130</v>
      </c>
      <c r="D12" s="864"/>
      <c r="E12" s="79">
        <f>COUNTIFS(Table13514520105[[#All],[Sales]],"คุณชนัฐฎา สนคะมี",Table13514520105[[#All],[รายการเบิก
คอมขาย]],"&gt;0")</f>
        <v>0</v>
      </c>
      <c r="F12" s="59">
        <f>SUMIF(Table13514520105[[#All],[Sales]],"คุณชนัฐฎา สนคะมี",Table13514520105[[#All],[รายการเบิก
คอมขาย]])</f>
        <v>0</v>
      </c>
      <c r="G12" s="75">
        <f t="shared" si="2"/>
        <v>0</v>
      </c>
      <c r="H12" s="75">
        <f t="shared" si="1"/>
        <v>0</v>
      </c>
      <c r="I12" s="51"/>
      <c r="J12" s="77"/>
    </row>
    <row r="13" spans="1:1294" s="45" customFormat="1" ht="19.05" customHeight="1">
      <c r="A13" s="50"/>
      <c r="B13" s="856"/>
      <c r="C13" s="72" t="s">
        <v>69</v>
      </c>
      <c r="D13" s="865"/>
      <c r="E13" s="79">
        <f>COUNTIFS(Table13514520105[[#All],[Sales]],"คุณธัญลักษณ์ หมื่นหลุบกุง",Table13514520105[[#All],[รายการเบิก
คอมขาย]],"&gt;0")</f>
        <v>0</v>
      </c>
      <c r="F13" s="59">
        <f>SUMIF(Table13514520105[[#All],[Sales]],"คุณธัญลักษณ์ หมื่นหลุบกุง",Table13514520105[[#All],[รายการเบิก
คอมขาย]])</f>
        <v>0</v>
      </c>
      <c r="G13" s="75">
        <f t="shared" si="2"/>
        <v>0</v>
      </c>
      <c r="H13" s="75">
        <f t="shared" si="1"/>
        <v>0</v>
      </c>
      <c r="I13" s="51"/>
      <c r="J13" s="77"/>
    </row>
    <row r="14" spans="1:1294" s="52" customFormat="1" ht="19.05" customHeight="1">
      <c r="A14" s="69">
        <v>2</v>
      </c>
      <c r="B14" s="857" t="s">
        <v>11</v>
      </c>
      <c r="C14" s="72" t="s">
        <v>70</v>
      </c>
      <c r="D14" s="866" t="s">
        <v>28</v>
      </c>
      <c r="E14" s="80">
        <f>COUNTIFS(Table13514520105[[#All],[Sales]],"คุณนิมิต จุ้ยอยู่ทอง",Table13514520105[[#All],[ค่าขายอุปกรณ์]],"&gt;1")</f>
        <v>0</v>
      </c>
      <c r="F14" s="75">
        <f>SUMIF(Table13514520105[[#All],[Sales]],"คุณนิมิต จุ้ยอยู่ทอง",Table13514520105[[#All],[Total
คอมฯ อุปกรณ์]])</f>
        <v>0</v>
      </c>
      <c r="G14" s="75">
        <f t="shared" si="0"/>
        <v>0</v>
      </c>
      <c r="H14" s="75">
        <f t="shared" si="1"/>
        <v>0</v>
      </c>
      <c r="I14" s="51"/>
      <c r="J14" s="78"/>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c r="IW14" s="45"/>
      <c r="IX14" s="45"/>
      <c r="IY14" s="45"/>
      <c r="IZ14" s="45"/>
      <c r="JA14" s="45"/>
      <c r="JB14" s="45"/>
      <c r="JC14" s="45"/>
      <c r="JD14" s="45"/>
      <c r="JE14" s="45"/>
      <c r="JF14" s="45"/>
      <c r="JG14" s="45"/>
      <c r="JH14" s="45"/>
      <c r="JI14" s="45"/>
      <c r="JJ14" s="45"/>
      <c r="JK14" s="45"/>
      <c r="JL14" s="45"/>
      <c r="JM14" s="45"/>
      <c r="JN14" s="45"/>
      <c r="JO14" s="45"/>
      <c r="JP14" s="45"/>
      <c r="JQ14" s="45"/>
      <c r="JR14" s="45"/>
      <c r="JS14" s="45"/>
      <c r="JT14" s="45"/>
      <c r="JU14" s="45"/>
      <c r="JV14" s="45"/>
      <c r="JW14" s="45"/>
      <c r="JX14" s="45"/>
      <c r="JY14" s="45"/>
      <c r="JZ14" s="45"/>
      <c r="KA14" s="45"/>
      <c r="KB14" s="45"/>
      <c r="KC14" s="45"/>
      <c r="KD14" s="45"/>
      <c r="KE14" s="45"/>
      <c r="KF14" s="45"/>
      <c r="KG14" s="45"/>
      <c r="KH14" s="45"/>
      <c r="KI14" s="45"/>
      <c r="KJ14" s="45"/>
      <c r="KK14" s="45"/>
      <c r="KL14" s="45"/>
      <c r="KM14" s="45"/>
      <c r="KN14" s="45"/>
      <c r="KO14" s="45"/>
      <c r="KP14" s="45"/>
      <c r="KQ14" s="45"/>
      <c r="KR14" s="45"/>
      <c r="KS14" s="45"/>
      <c r="KT14" s="45"/>
      <c r="KU14" s="45"/>
      <c r="KV14" s="45"/>
      <c r="KW14" s="45"/>
      <c r="KX14" s="45"/>
      <c r="KY14" s="45"/>
      <c r="KZ14" s="45"/>
      <c r="LA14" s="45"/>
      <c r="LB14" s="45"/>
      <c r="LC14" s="45"/>
      <c r="LD14" s="45"/>
      <c r="LE14" s="45"/>
      <c r="LF14" s="45"/>
      <c r="LG14" s="45"/>
      <c r="LH14" s="45"/>
      <c r="LI14" s="45"/>
      <c r="LJ14" s="45"/>
      <c r="LK14" s="45"/>
      <c r="LL14" s="45"/>
      <c r="LM14" s="45"/>
      <c r="LN14" s="45"/>
      <c r="LO14" s="45"/>
      <c r="LP14" s="45"/>
      <c r="LQ14" s="45"/>
      <c r="LR14" s="45"/>
      <c r="LS14" s="45"/>
      <c r="LT14" s="45"/>
      <c r="LU14" s="45"/>
      <c r="LV14" s="45"/>
      <c r="LW14" s="45"/>
      <c r="LX14" s="45"/>
      <c r="LY14" s="45"/>
      <c r="LZ14" s="45"/>
      <c r="MA14" s="45"/>
      <c r="MB14" s="45"/>
      <c r="MC14" s="45"/>
      <c r="MD14" s="45"/>
      <c r="ME14" s="45"/>
      <c r="MF14" s="45"/>
      <c r="MG14" s="45"/>
      <c r="MH14" s="45"/>
      <c r="MI14" s="45"/>
      <c r="MJ14" s="45"/>
      <c r="MK14" s="45"/>
      <c r="ML14" s="45"/>
      <c r="MM14" s="45"/>
      <c r="MN14" s="45"/>
      <c r="MO14" s="45"/>
      <c r="MP14" s="45"/>
      <c r="MQ14" s="45"/>
      <c r="MR14" s="45"/>
      <c r="MS14" s="45"/>
      <c r="MT14" s="45"/>
      <c r="MU14" s="45"/>
      <c r="MV14" s="45"/>
      <c r="MW14" s="45"/>
      <c r="MX14" s="45"/>
      <c r="MY14" s="45"/>
      <c r="MZ14" s="45"/>
      <c r="NA14" s="45"/>
      <c r="NB14" s="45"/>
      <c r="NC14" s="45"/>
      <c r="ND14" s="45"/>
      <c r="NE14" s="45"/>
      <c r="NF14" s="45"/>
      <c r="NG14" s="45"/>
      <c r="NH14" s="45"/>
      <c r="NI14" s="45"/>
      <c r="NJ14" s="45"/>
      <c r="NK14" s="45"/>
      <c r="NL14" s="45"/>
      <c r="NM14" s="45"/>
      <c r="NN14" s="45"/>
      <c r="NO14" s="45"/>
      <c r="NP14" s="45"/>
      <c r="NQ14" s="45"/>
      <c r="NR14" s="45"/>
      <c r="NS14" s="45"/>
      <c r="NT14" s="45"/>
      <c r="NU14" s="45"/>
      <c r="NV14" s="45"/>
      <c r="NW14" s="45"/>
      <c r="NX14" s="45"/>
      <c r="NY14" s="45"/>
      <c r="NZ14" s="45"/>
      <c r="OA14" s="45"/>
      <c r="OB14" s="45"/>
      <c r="OC14" s="45"/>
      <c r="OD14" s="45"/>
      <c r="OE14" s="45"/>
      <c r="OF14" s="45"/>
      <c r="OG14" s="45"/>
      <c r="OH14" s="45"/>
      <c r="OI14" s="45"/>
      <c r="OJ14" s="45"/>
      <c r="OK14" s="45"/>
      <c r="OL14" s="45"/>
      <c r="OM14" s="45"/>
      <c r="ON14" s="45"/>
      <c r="OO14" s="45"/>
      <c r="OP14" s="45"/>
      <c r="OQ14" s="45"/>
      <c r="OR14" s="45"/>
      <c r="OS14" s="45"/>
      <c r="OT14" s="45"/>
      <c r="OU14" s="45"/>
      <c r="OV14" s="45"/>
      <c r="OW14" s="45"/>
      <c r="OX14" s="45"/>
      <c r="OY14" s="45"/>
      <c r="OZ14" s="45"/>
      <c r="PA14" s="45"/>
      <c r="PB14" s="45"/>
      <c r="PC14" s="45"/>
      <c r="PD14" s="45"/>
      <c r="PE14" s="45"/>
      <c r="PF14" s="45"/>
      <c r="PG14" s="45"/>
      <c r="PH14" s="45"/>
      <c r="PI14" s="45"/>
      <c r="PJ14" s="45"/>
      <c r="PK14" s="45"/>
      <c r="PL14" s="45"/>
      <c r="PM14" s="45"/>
      <c r="PN14" s="45"/>
      <c r="PO14" s="45"/>
      <c r="PP14" s="45"/>
      <c r="PQ14" s="45"/>
      <c r="PR14" s="45"/>
      <c r="PS14" s="45"/>
      <c r="PT14" s="45"/>
      <c r="PU14" s="45"/>
      <c r="PV14" s="45"/>
      <c r="PW14" s="45"/>
      <c r="PX14" s="45"/>
      <c r="PY14" s="45"/>
      <c r="PZ14" s="45"/>
      <c r="QA14" s="45"/>
      <c r="QB14" s="45"/>
      <c r="QC14" s="45"/>
      <c r="QD14" s="45"/>
      <c r="QE14" s="45"/>
      <c r="QF14" s="45"/>
      <c r="QG14" s="45"/>
      <c r="QH14" s="45"/>
      <c r="QI14" s="45"/>
      <c r="QJ14" s="45"/>
      <c r="QK14" s="45"/>
      <c r="QL14" s="45"/>
      <c r="QM14" s="45"/>
      <c r="QN14" s="45"/>
      <c r="QO14" s="45"/>
      <c r="QP14" s="45"/>
      <c r="QQ14" s="45"/>
      <c r="QR14" s="45"/>
      <c r="QS14" s="45"/>
      <c r="QT14" s="45"/>
      <c r="QU14" s="45"/>
      <c r="QV14" s="45"/>
      <c r="QW14" s="45"/>
      <c r="QX14" s="45"/>
      <c r="QY14" s="45"/>
      <c r="QZ14" s="45"/>
      <c r="RA14" s="45"/>
      <c r="RB14" s="45"/>
      <c r="RC14" s="45"/>
      <c r="RD14" s="45"/>
      <c r="RE14" s="45"/>
      <c r="RF14" s="45"/>
      <c r="RG14" s="45"/>
      <c r="RH14" s="45"/>
      <c r="RI14" s="45"/>
      <c r="RJ14" s="45"/>
      <c r="RK14" s="45"/>
      <c r="RL14" s="45"/>
      <c r="RM14" s="45"/>
      <c r="RN14" s="45"/>
      <c r="RO14" s="45"/>
      <c r="RP14" s="45"/>
      <c r="RQ14" s="45"/>
      <c r="RR14" s="45"/>
      <c r="RS14" s="45"/>
      <c r="RT14" s="45"/>
      <c r="RU14" s="45"/>
      <c r="RV14" s="45"/>
      <c r="RW14" s="45"/>
      <c r="RX14" s="45"/>
      <c r="RY14" s="45"/>
      <c r="RZ14" s="45"/>
      <c r="SA14" s="45"/>
      <c r="SB14" s="45"/>
      <c r="SC14" s="45"/>
      <c r="SD14" s="45"/>
      <c r="SE14" s="45"/>
      <c r="SF14" s="45"/>
      <c r="SG14" s="45"/>
      <c r="SH14" s="45"/>
      <c r="SI14" s="45"/>
      <c r="SJ14" s="45"/>
      <c r="SK14" s="45"/>
      <c r="SL14" s="45"/>
      <c r="SM14" s="45"/>
      <c r="SN14" s="45"/>
      <c r="SO14" s="45"/>
      <c r="SP14" s="45"/>
      <c r="SQ14" s="45"/>
      <c r="SR14" s="45"/>
      <c r="SS14" s="45"/>
      <c r="ST14" s="45"/>
      <c r="SU14" s="45"/>
      <c r="SV14" s="45"/>
      <c r="SW14" s="45"/>
      <c r="SX14" s="45"/>
      <c r="SY14" s="45"/>
      <c r="SZ14" s="45"/>
      <c r="TA14" s="45"/>
      <c r="TB14" s="45"/>
      <c r="TC14" s="45"/>
      <c r="TD14" s="45"/>
      <c r="TE14" s="45"/>
      <c r="TF14" s="45"/>
      <c r="TG14" s="45"/>
      <c r="TH14" s="45"/>
      <c r="TI14" s="45"/>
      <c r="TJ14" s="45"/>
      <c r="TK14" s="45"/>
      <c r="TL14" s="45"/>
      <c r="TM14" s="45"/>
      <c r="TN14" s="45"/>
      <c r="TO14" s="45"/>
      <c r="TP14" s="45"/>
      <c r="TQ14" s="45"/>
      <c r="TR14" s="45"/>
      <c r="TS14" s="45"/>
      <c r="TT14" s="45"/>
      <c r="TU14" s="45"/>
      <c r="TV14" s="45"/>
      <c r="TW14" s="45"/>
      <c r="TX14" s="45"/>
      <c r="TY14" s="45"/>
      <c r="TZ14" s="45"/>
      <c r="UA14" s="45"/>
      <c r="UB14" s="45"/>
      <c r="UC14" s="45"/>
      <c r="UD14" s="45"/>
      <c r="UE14" s="45"/>
      <c r="UF14" s="45"/>
      <c r="UG14" s="45"/>
      <c r="UH14" s="45"/>
      <c r="UI14" s="45"/>
      <c r="UJ14" s="45"/>
      <c r="UK14" s="45"/>
      <c r="UL14" s="45"/>
      <c r="UM14" s="45"/>
      <c r="UN14" s="45"/>
      <c r="UO14" s="45"/>
      <c r="UP14" s="45"/>
      <c r="UQ14" s="45"/>
      <c r="UR14" s="45"/>
      <c r="US14" s="45"/>
      <c r="UT14" s="45"/>
      <c r="UU14" s="45"/>
      <c r="UV14" s="45"/>
      <c r="UW14" s="45"/>
      <c r="UX14" s="45"/>
      <c r="UY14" s="45"/>
      <c r="UZ14" s="45"/>
      <c r="VA14" s="45"/>
      <c r="VB14" s="45"/>
      <c r="VC14" s="45"/>
      <c r="VD14" s="45"/>
      <c r="VE14" s="45"/>
      <c r="VF14" s="45"/>
      <c r="VG14" s="45"/>
      <c r="VH14" s="45"/>
      <c r="VI14" s="45"/>
      <c r="VJ14" s="45"/>
      <c r="VK14" s="45"/>
      <c r="VL14" s="45"/>
      <c r="VM14" s="45"/>
      <c r="VN14" s="45"/>
      <c r="VO14" s="45"/>
      <c r="VP14" s="45"/>
      <c r="VQ14" s="45"/>
      <c r="VR14" s="45"/>
      <c r="VS14" s="45"/>
      <c r="VT14" s="45"/>
      <c r="VU14" s="45"/>
      <c r="VV14" s="45"/>
      <c r="VW14" s="45"/>
      <c r="VX14" s="45"/>
      <c r="VY14" s="45"/>
      <c r="VZ14" s="45"/>
      <c r="WA14" s="45"/>
      <c r="WB14" s="45"/>
      <c r="WC14" s="45"/>
      <c r="WD14" s="45"/>
      <c r="WE14" s="45"/>
      <c r="WF14" s="45"/>
      <c r="WG14" s="45"/>
      <c r="WH14" s="45"/>
      <c r="WI14" s="45"/>
      <c r="WJ14" s="45"/>
      <c r="WK14" s="45"/>
      <c r="WL14" s="45"/>
      <c r="WM14" s="45"/>
      <c r="WN14" s="45"/>
      <c r="WO14" s="45"/>
      <c r="WP14" s="45"/>
      <c r="WQ14" s="45"/>
      <c r="WR14" s="45"/>
      <c r="WS14" s="45"/>
      <c r="WT14" s="45"/>
      <c r="WU14" s="45"/>
      <c r="WV14" s="45"/>
      <c r="WW14" s="45"/>
      <c r="WX14" s="45"/>
      <c r="WY14" s="45"/>
      <c r="WZ14" s="45"/>
      <c r="XA14" s="45"/>
      <c r="XB14" s="45"/>
      <c r="XC14" s="45"/>
      <c r="XD14" s="45"/>
      <c r="XE14" s="45"/>
      <c r="XF14" s="45"/>
      <c r="XG14" s="45"/>
      <c r="XH14" s="45"/>
      <c r="XI14" s="45"/>
      <c r="XJ14" s="45"/>
      <c r="XK14" s="45"/>
      <c r="XL14" s="45"/>
      <c r="XM14" s="45"/>
      <c r="XN14" s="45"/>
      <c r="XO14" s="45"/>
      <c r="XP14" s="45"/>
      <c r="XQ14" s="45"/>
      <c r="XR14" s="45"/>
      <c r="XS14" s="45"/>
      <c r="XT14" s="45"/>
      <c r="XU14" s="45"/>
      <c r="XV14" s="45"/>
      <c r="XW14" s="45"/>
      <c r="XX14" s="45"/>
      <c r="XY14" s="45"/>
      <c r="XZ14" s="45"/>
      <c r="YA14" s="45"/>
      <c r="YB14" s="45"/>
      <c r="YC14" s="45"/>
      <c r="YD14" s="45"/>
      <c r="YE14" s="45"/>
      <c r="YF14" s="45"/>
      <c r="YG14" s="45"/>
      <c r="YH14" s="45"/>
      <c r="YI14" s="45"/>
      <c r="YJ14" s="45"/>
      <c r="YK14" s="45"/>
      <c r="YL14" s="45"/>
      <c r="YM14" s="45"/>
      <c r="YN14" s="45"/>
      <c r="YO14" s="45"/>
      <c r="YP14" s="45"/>
      <c r="YQ14" s="45"/>
      <c r="YR14" s="45"/>
      <c r="YS14" s="45"/>
      <c r="YT14" s="45"/>
      <c r="YU14" s="45"/>
      <c r="YV14" s="45"/>
      <c r="YW14" s="45"/>
      <c r="YX14" s="45"/>
      <c r="YY14" s="45"/>
      <c r="YZ14" s="45"/>
      <c r="ZA14" s="45"/>
      <c r="ZB14" s="45"/>
      <c r="ZC14" s="45"/>
      <c r="ZD14" s="45"/>
      <c r="ZE14" s="45"/>
      <c r="ZF14" s="45"/>
      <c r="ZG14" s="45"/>
      <c r="ZH14" s="45"/>
      <c r="ZI14" s="45"/>
      <c r="ZJ14" s="45"/>
      <c r="ZK14" s="45"/>
      <c r="ZL14" s="45"/>
      <c r="ZM14" s="45"/>
      <c r="ZN14" s="45"/>
      <c r="ZO14" s="45"/>
      <c r="ZP14" s="45"/>
      <c r="ZQ14" s="45"/>
      <c r="ZR14" s="45"/>
      <c r="ZS14" s="45"/>
      <c r="ZT14" s="45"/>
      <c r="ZU14" s="45"/>
      <c r="ZV14" s="45"/>
      <c r="ZW14" s="45"/>
      <c r="ZX14" s="45"/>
      <c r="ZY14" s="45"/>
      <c r="ZZ14" s="45"/>
      <c r="AAA14" s="45"/>
      <c r="AAB14" s="45"/>
      <c r="AAC14" s="45"/>
      <c r="AAD14" s="45"/>
      <c r="AAE14" s="45"/>
      <c r="AAF14" s="45"/>
      <c r="AAG14" s="45"/>
      <c r="AAH14" s="45"/>
      <c r="AAI14" s="45"/>
      <c r="AAJ14" s="45"/>
      <c r="AAK14" s="45"/>
      <c r="AAL14" s="45"/>
      <c r="AAM14" s="45"/>
      <c r="AAN14" s="45"/>
      <c r="AAO14" s="45"/>
      <c r="AAP14" s="45"/>
      <c r="AAQ14" s="45"/>
      <c r="AAR14" s="45"/>
      <c r="AAS14" s="45"/>
      <c r="AAT14" s="45"/>
      <c r="AAU14" s="45"/>
      <c r="AAV14" s="45"/>
      <c r="AAW14" s="45"/>
      <c r="AAX14" s="45"/>
      <c r="AAY14" s="45"/>
      <c r="AAZ14" s="45"/>
      <c r="ABA14" s="45"/>
      <c r="ABB14" s="45"/>
      <c r="ABC14" s="45"/>
      <c r="ABD14" s="45"/>
      <c r="ABE14" s="45"/>
      <c r="ABF14" s="45"/>
      <c r="ABG14" s="45"/>
      <c r="ABH14" s="45"/>
      <c r="ABI14" s="45"/>
      <c r="ABJ14" s="45"/>
      <c r="ABK14" s="45"/>
      <c r="ABL14" s="45"/>
      <c r="ABM14" s="45"/>
      <c r="ABN14" s="45"/>
      <c r="ABO14" s="45"/>
      <c r="ABP14" s="45"/>
      <c r="ABQ14" s="45"/>
      <c r="ABR14" s="45"/>
      <c r="ABS14" s="45"/>
      <c r="ABT14" s="45"/>
      <c r="ABU14" s="45"/>
      <c r="ABV14" s="45"/>
      <c r="ABW14" s="45"/>
      <c r="ABX14" s="45"/>
      <c r="ABY14" s="45"/>
      <c r="ABZ14" s="45"/>
      <c r="ACA14" s="45"/>
      <c r="ACB14" s="45"/>
      <c r="ACC14" s="45"/>
      <c r="ACD14" s="45"/>
      <c r="ACE14" s="45"/>
      <c r="ACF14" s="45"/>
      <c r="ACG14" s="45"/>
      <c r="ACH14" s="45"/>
      <c r="ACI14" s="45"/>
      <c r="ACJ14" s="45"/>
      <c r="ACK14" s="45"/>
      <c r="ACL14" s="45"/>
      <c r="ACM14" s="45"/>
      <c r="ACN14" s="45"/>
      <c r="ACO14" s="45"/>
      <c r="ACP14" s="45"/>
      <c r="ACQ14" s="45"/>
      <c r="ACR14" s="45"/>
      <c r="ACS14" s="45"/>
      <c r="ACT14" s="45"/>
      <c r="ACU14" s="45"/>
      <c r="ACV14" s="45"/>
      <c r="ACW14" s="45"/>
      <c r="ACX14" s="45"/>
      <c r="ACY14" s="45"/>
      <c r="ACZ14" s="45"/>
      <c r="ADA14" s="45"/>
      <c r="ADB14" s="45"/>
      <c r="ADC14" s="45"/>
      <c r="ADD14" s="45"/>
      <c r="ADE14" s="45"/>
      <c r="ADF14" s="45"/>
      <c r="ADG14" s="45"/>
      <c r="ADH14" s="45"/>
      <c r="ADI14" s="45"/>
      <c r="ADJ14" s="45"/>
      <c r="ADK14" s="45"/>
      <c r="ADL14" s="45"/>
      <c r="ADM14" s="45"/>
      <c r="ADN14" s="45"/>
      <c r="ADO14" s="45"/>
      <c r="ADP14" s="45"/>
      <c r="ADQ14" s="45"/>
      <c r="ADR14" s="45"/>
      <c r="ADS14" s="45"/>
      <c r="ADT14" s="45"/>
      <c r="ADU14" s="45"/>
      <c r="ADV14" s="45"/>
      <c r="ADW14" s="45"/>
      <c r="ADX14" s="45"/>
      <c r="ADY14" s="45"/>
      <c r="ADZ14" s="45"/>
      <c r="AEA14" s="45"/>
      <c r="AEB14" s="45"/>
      <c r="AEC14" s="45"/>
      <c r="AED14" s="45"/>
      <c r="AEE14" s="45"/>
      <c r="AEF14" s="45"/>
      <c r="AEG14" s="45"/>
      <c r="AEH14" s="45"/>
      <c r="AEI14" s="45"/>
      <c r="AEJ14" s="45"/>
      <c r="AEK14" s="45"/>
      <c r="AEL14" s="45"/>
      <c r="AEM14" s="45"/>
      <c r="AEN14" s="45"/>
      <c r="AEO14" s="45"/>
      <c r="AEP14" s="45"/>
      <c r="AEQ14" s="45"/>
      <c r="AER14" s="45"/>
      <c r="AES14" s="45"/>
      <c r="AET14" s="45"/>
      <c r="AEU14" s="45"/>
      <c r="AEV14" s="45"/>
      <c r="AEW14" s="45"/>
      <c r="AEX14" s="45"/>
      <c r="AEY14" s="45"/>
      <c r="AEZ14" s="45"/>
      <c r="AFA14" s="45"/>
      <c r="AFB14" s="45"/>
      <c r="AFC14" s="45"/>
      <c r="AFD14" s="45"/>
      <c r="AFE14" s="45"/>
      <c r="AFF14" s="45"/>
      <c r="AFG14" s="45"/>
      <c r="AFH14" s="45"/>
      <c r="AFI14" s="45"/>
      <c r="AFJ14" s="45"/>
      <c r="AFK14" s="45"/>
      <c r="AFL14" s="45"/>
      <c r="AFM14" s="45"/>
      <c r="AFN14" s="45"/>
      <c r="AFO14" s="45"/>
      <c r="AFP14" s="45"/>
      <c r="AFQ14" s="45"/>
      <c r="AFR14" s="45"/>
      <c r="AFS14" s="45"/>
      <c r="AFT14" s="45"/>
      <c r="AFU14" s="45"/>
      <c r="AFV14" s="45"/>
      <c r="AFW14" s="45"/>
      <c r="AFX14" s="45"/>
      <c r="AFY14" s="45"/>
      <c r="AFZ14" s="45"/>
      <c r="AGA14" s="45"/>
      <c r="AGB14" s="45"/>
      <c r="AGC14" s="45"/>
      <c r="AGD14" s="45"/>
      <c r="AGE14" s="45"/>
      <c r="AGF14" s="45"/>
      <c r="AGG14" s="45"/>
      <c r="AGH14" s="45"/>
      <c r="AGI14" s="45"/>
      <c r="AGJ14" s="45"/>
      <c r="AGK14" s="45"/>
      <c r="AGL14" s="45"/>
      <c r="AGM14" s="45"/>
      <c r="AGN14" s="45"/>
      <c r="AGO14" s="45"/>
      <c r="AGP14" s="45"/>
      <c r="AGQ14" s="45"/>
      <c r="AGR14" s="45"/>
      <c r="AGS14" s="45"/>
      <c r="AGT14" s="45"/>
      <c r="AGU14" s="45"/>
      <c r="AGV14" s="45"/>
      <c r="AGW14" s="45"/>
      <c r="AGX14" s="45"/>
      <c r="AGY14" s="45"/>
      <c r="AGZ14" s="45"/>
      <c r="AHA14" s="45"/>
      <c r="AHB14" s="45"/>
      <c r="AHC14" s="45"/>
      <c r="AHD14" s="45"/>
      <c r="AHE14" s="45"/>
      <c r="AHF14" s="45"/>
      <c r="AHG14" s="45"/>
      <c r="AHH14" s="45"/>
      <c r="AHI14" s="45"/>
      <c r="AHJ14" s="45"/>
      <c r="AHK14" s="45"/>
      <c r="AHL14" s="45"/>
      <c r="AHM14" s="45"/>
      <c r="AHN14" s="45"/>
      <c r="AHO14" s="45"/>
      <c r="AHP14" s="45"/>
      <c r="AHQ14" s="45"/>
      <c r="AHR14" s="45"/>
      <c r="AHS14" s="45"/>
      <c r="AHT14" s="45"/>
      <c r="AHU14" s="45"/>
      <c r="AHV14" s="45"/>
      <c r="AHW14" s="45"/>
      <c r="AHX14" s="45"/>
      <c r="AHY14" s="45"/>
      <c r="AHZ14" s="45"/>
      <c r="AIA14" s="45"/>
      <c r="AIB14" s="45"/>
      <c r="AIC14" s="45"/>
      <c r="AID14" s="45"/>
      <c r="AIE14" s="45"/>
      <c r="AIF14" s="45"/>
      <c r="AIG14" s="45"/>
      <c r="AIH14" s="45"/>
      <c r="AII14" s="45"/>
      <c r="AIJ14" s="45"/>
      <c r="AIK14" s="45"/>
      <c r="AIL14" s="45"/>
      <c r="AIM14" s="45"/>
      <c r="AIN14" s="45"/>
      <c r="AIO14" s="45"/>
      <c r="AIP14" s="45"/>
      <c r="AIQ14" s="45"/>
      <c r="AIR14" s="45"/>
      <c r="AIS14" s="45"/>
      <c r="AIT14" s="45"/>
      <c r="AIU14" s="45"/>
      <c r="AIV14" s="45"/>
      <c r="AIW14" s="45"/>
      <c r="AIX14" s="45"/>
      <c r="AIY14" s="45"/>
      <c r="AIZ14" s="45"/>
      <c r="AJA14" s="45"/>
      <c r="AJB14" s="45"/>
      <c r="AJC14" s="45"/>
      <c r="AJD14" s="45"/>
      <c r="AJE14" s="45"/>
      <c r="AJF14" s="45"/>
      <c r="AJG14" s="45"/>
      <c r="AJH14" s="45"/>
      <c r="AJI14" s="45"/>
      <c r="AJJ14" s="45"/>
      <c r="AJK14" s="45"/>
      <c r="AJL14" s="45"/>
      <c r="AJM14" s="45"/>
      <c r="AJN14" s="45"/>
      <c r="AJO14" s="45"/>
      <c r="AJP14" s="45"/>
      <c r="AJQ14" s="45"/>
      <c r="AJR14" s="45"/>
      <c r="AJS14" s="45"/>
      <c r="AJT14" s="45"/>
      <c r="AJU14" s="45"/>
      <c r="AJV14" s="45"/>
      <c r="AJW14" s="45"/>
      <c r="AJX14" s="45"/>
      <c r="AJY14" s="45"/>
      <c r="AJZ14" s="45"/>
      <c r="AKA14" s="45"/>
      <c r="AKB14" s="45"/>
      <c r="AKC14" s="45"/>
      <c r="AKD14" s="45"/>
      <c r="AKE14" s="45"/>
      <c r="AKF14" s="45"/>
      <c r="AKG14" s="45"/>
      <c r="AKH14" s="45"/>
      <c r="AKI14" s="45"/>
      <c r="AKJ14" s="45"/>
      <c r="AKK14" s="45"/>
      <c r="AKL14" s="45"/>
      <c r="AKM14" s="45"/>
      <c r="AKN14" s="45"/>
      <c r="AKO14" s="45"/>
      <c r="AKP14" s="45"/>
      <c r="AKQ14" s="45"/>
      <c r="AKR14" s="45"/>
      <c r="AKS14" s="45"/>
      <c r="AKT14" s="45"/>
      <c r="AKU14" s="45"/>
      <c r="AKV14" s="45"/>
      <c r="AKW14" s="45"/>
      <c r="AKX14" s="45"/>
      <c r="AKY14" s="45"/>
      <c r="AKZ14" s="45"/>
      <c r="ALA14" s="45"/>
      <c r="ALB14" s="45"/>
      <c r="ALC14" s="45"/>
      <c r="ALD14" s="45"/>
      <c r="ALE14" s="45"/>
      <c r="ALF14" s="45"/>
      <c r="ALG14" s="45"/>
      <c r="ALH14" s="45"/>
      <c r="ALI14" s="45"/>
      <c r="ALJ14" s="45"/>
      <c r="ALK14" s="45"/>
      <c r="ALL14" s="45"/>
      <c r="ALM14" s="45"/>
      <c r="ALN14" s="45"/>
      <c r="ALO14" s="45"/>
      <c r="ALP14" s="45"/>
      <c r="ALQ14" s="45"/>
      <c r="ALR14" s="45"/>
      <c r="ALS14" s="45"/>
      <c r="ALT14" s="45"/>
      <c r="ALU14" s="45"/>
      <c r="ALV14" s="45"/>
      <c r="ALW14" s="45"/>
      <c r="ALX14" s="45"/>
      <c r="ALY14" s="45"/>
      <c r="ALZ14" s="45"/>
      <c r="AMA14" s="45"/>
      <c r="AMB14" s="45"/>
      <c r="AMC14" s="45"/>
      <c r="AMD14" s="45"/>
      <c r="AME14" s="45"/>
      <c r="AMF14" s="45"/>
      <c r="AMG14" s="45"/>
      <c r="AMH14" s="45"/>
      <c r="AMI14" s="45"/>
      <c r="AMJ14" s="45"/>
      <c r="AMK14" s="45"/>
      <c r="AML14" s="45"/>
      <c r="AMM14" s="45"/>
      <c r="AMN14" s="45"/>
      <c r="AMO14" s="45"/>
      <c r="AMP14" s="45"/>
      <c r="AMQ14" s="45"/>
      <c r="AMR14" s="45"/>
      <c r="AMS14" s="45"/>
      <c r="AMT14" s="45"/>
      <c r="AMU14" s="45"/>
      <c r="AMV14" s="45"/>
      <c r="AMW14" s="45"/>
      <c r="AMX14" s="45"/>
      <c r="AMY14" s="45"/>
      <c r="AMZ14" s="45"/>
      <c r="ANA14" s="45"/>
      <c r="ANB14" s="45"/>
      <c r="ANC14" s="45"/>
      <c r="AND14" s="45"/>
      <c r="ANE14" s="45"/>
      <c r="ANF14" s="45"/>
      <c r="ANG14" s="45"/>
      <c r="ANH14" s="45"/>
      <c r="ANI14" s="45"/>
      <c r="ANJ14" s="45"/>
      <c r="ANK14" s="45"/>
      <c r="ANL14" s="45"/>
      <c r="ANM14" s="45"/>
      <c r="ANN14" s="45"/>
      <c r="ANO14" s="45"/>
      <c r="ANP14" s="45"/>
      <c r="ANQ14" s="45"/>
      <c r="ANR14" s="45"/>
      <c r="ANS14" s="45"/>
      <c r="ANT14" s="45"/>
      <c r="ANU14" s="45"/>
      <c r="ANV14" s="45"/>
      <c r="ANW14" s="45"/>
      <c r="ANX14" s="45"/>
      <c r="ANY14" s="45"/>
      <c r="ANZ14" s="45"/>
      <c r="AOA14" s="45"/>
      <c r="AOB14" s="45"/>
      <c r="AOC14" s="45"/>
      <c r="AOD14" s="45"/>
      <c r="AOE14" s="45"/>
      <c r="AOF14" s="45"/>
      <c r="AOG14" s="45"/>
      <c r="AOH14" s="45"/>
      <c r="AOI14" s="45"/>
      <c r="AOJ14" s="45"/>
      <c r="AOK14" s="45"/>
      <c r="AOL14" s="45"/>
      <c r="AOM14" s="45"/>
      <c r="AON14" s="45"/>
      <c r="AOO14" s="45"/>
      <c r="AOP14" s="45"/>
      <c r="AOQ14" s="45"/>
      <c r="AOR14" s="45"/>
      <c r="AOS14" s="45"/>
      <c r="AOT14" s="45"/>
      <c r="AOU14" s="45"/>
      <c r="AOV14" s="45"/>
      <c r="AOW14" s="45"/>
      <c r="AOX14" s="45"/>
      <c r="AOY14" s="45"/>
      <c r="AOZ14" s="45"/>
      <c r="APA14" s="45"/>
      <c r="APB14" s="45"/>
      <c r="APC14" s="45"/>
      <c r="APD14" s="45"/>
      <c r="APE14" s="45"/>
      <c r="APF14" s="45"/>
      <c r="APG14" s="45"/>
      <c r="APH14" s="45"/>
      <c r="API14" s="45"/>
      <c r="APJ14" s="45"/>
      <c r="APK14" s="45"/>
      <c r="APL14" s="45"/>
      <c r="APM14" s="45"/>
      <c r="APN14" s="45"/>
      <c r="APO14" s="45"/>
      <c r="APP14" s="45"/>
      <c r="APQ14" s="45"/>
      <c r="APR14" s="45"/>
      <c r="APS14" s="45"/>
      <c r="APT14" s="45"/>
      <c r="APU14" s="45"/>
      <c r="APV14" s="45"/>
      <c r="APW14" s="45"/>
      <c r="APX14" s="45"/>
      <c r="APY14" s="45"/>
      <c r="APZ14" s="45"/>
      <c r="AQA14" s="45"/>
      <c r="AQB14" s="45"/>
      <c r="AQC14" s="45"/>
      <c r="AQD14" s="45"/>
      <c r="AQE14" s="45"/>
      <c r="AQF14" s="45"/>
      <c r="AQG14" s="45"/>
      <c r="AQH14" s="45"/>
      <c r="AQI14" s="45"/>
      <c r="AQJ14" s="45"/>
      <c r="AQK14" s="45"/>
      <c r="AQL14" s="45"/>
      <c r="AQM14" s="45"/>
      <c r="AQN14" s="45"/>
      <c r="AQO14" s="45"/>
      <c r="AQP14" s="45"/>
      <c r="AQQ14" s="45"/>
      <c r="AQR14" s="45"/>
      <c r="AQS14" s="45"/>
      <c r="AQT14" s="45"/>
      <c r="AQU14" s="45"/>
      <c r="AQV14" s="45"/>
      <c r="AQW14" s="45"/>
      <c r="AQX14" s="45"/>
      <c r="AQY14" s="45"/>
      <c r="AQZ14" s="45"/>
      <c r="ARA14" s="45"/>
      <c r="ARB14" s="45"/>
      <c r="ARC14" s="45"/>
      <c r="ARD14" s="45"/>
      <c r="ARE14" s="45"/>
      <c r="ARF14" s="45"/>
      <c r="ARG14" s="45"/>
      <c r="ARH14" s="45"/>
      <c r="ARI14" s="45"/>
      <c r="ARJ14" s="45"/>
      <c r="ARK14" s="45"/>
      <c r="ARL14" s="45"/>
      <c r="ARM14" s="45"/>
      <c r="ARN14" s="45"/>
      <c r="ARO14" s="45"/>
      <c r="ARP14" s="45"/>
      <c r="ARQ14" s="45"/>
      <c r="ARR14" s="45"/>
      <c r="ARS14" s="45"/>
      <c r="ART14" s="45"/>
      <c r="ARU14" s="45"/>
      <c r="ARV14" s="45"/>
      <c r="ARW14" s="45"/>
      <c r="ARX14" s="45"/>
      <c r="ARY14" s="45"/>
      <c r="ARZ14" s="45"/>
      <c r="ASA14" s="45"/>
      <c r="ASB14" s="45"/>
      <c r="ASC14" s="45"/>
      <c r="ASD14" s="45"/>
      <c r="ASE14" s="45"/>
      <c r="ASF14" s="45"/>
      <c r="ASG14" s="45"/>
      <c r="ASH14" s="45"/>
      <c r="ASI14" s="45"/>
      <c r="ASJ14" s="45"/>
      <c r="ASK14" s="45"/>
      <c r="ASL14" s="45"/>
      <c r="ASM14" s="45"/>
      <c r="ASN14" s="45"/>
      <c r="ASO14" s="45"/>
      <c r="ASP14" s="45"/>
      <c r="ASQ14" s="45"/>
      <c r="ASR14" s="45"/>
      <c r="ASS14" s="45"/>
      <c r="AST14" s="45"/>
      <c r="ASU14" s="45"/>
      <c r="ASV14" s="45"/>
      <c r="ASW14" s="45"/>
      <c r="ASX14" s="45"/>
      <c r="ASY14" s="45"/>
      <c r="ASZ14" s="45"/>
      <c r="ATA14" s="45"/>
      <c r="ATB14" s="45"/>
      <c r="ATC14" s="45"/>
      <c r="ATD14" s="45"/>
      <c r="ATE14" s="45"/>
      <c r="ATF14" s="45"/>
      <c r="ATG14" s="45"/>
      <c r="ATH14" s="45"/>
      <c r="ATI14" s="45"/>
      <c r="ATJ14" s="45"/>
      <c r="ATK14" s="45"/>
      <c r="ATL14" s="45"/>
      <c r="ATM14" s="45"/>
      <c r="ATN14" s="45"/>
      <c r="ATO14" s="45"/>
      <c r="ATP14" s="45"/>
      <c r="ATQ14" s="45"/>
      <c r="ATR14" s="45"/>
      <c r="ATS14" s="45"/>
      <c r="ATT14" s="45"/>
      <c r="ATU14" s="45"/>
      <c r="ATV14" s="45"/>
      <c r="ATW14" s="45"/>
      <c r="ATX14" s="45"/>
      <c r="ATY14" s="45"/>
      <c r="ATZ14" s="45"/>
      <c r="AUA14" s="45"/>
      <c r="AUB14" s="45"/>
      <c r="AUC14" s="45"/>
      <c r="AUD14" s="45"/>
      <c r="AUE14" s="45"/>
      <c r="AUF14" s="45"/>
      <c r="AUG14" s="45"/>
      <c r="AUH14" s="45"/>
      <c r="AUI14" s="45"/>
      <c r="AUJ14" s="45"/>
      <c r="AUK14" s="45"/>
      <c r="AUL14" s="45"/>
      <c r="AUM14" s="45"/>
      <c r="AUN14" s="45"/>
      <c r="AUO14" s="45"/>
      <c r="AUP14" s="45"/>
      <c r="AUQ14" s="45"/>
      <c r="AUR14" s="45"/>
      <c r="AUS14" s="45"/>
      <c r="AUT14" s="45"/>
      <c r="AUU14" s="45"/>
      <c r="AUV14" s="45"/>
      <c r="AUW14" s="45"/>
      <c r="AUX14" s="45"/>
      <c r="AUY14" s="45"/>
      <c r="AUZ14" s="45"/>
      <c r="AVA14" s="45"/>
      <c r="AVB14" s="45"/>
      <c r="AVC14" s="45"/>
      <c r="AVD14" s="45"/>
      <c r="AVE14" s="45"/>
      <c r="AVF14" s="45"/>
      <c r="AVG14" s="45"/>
      <c r="AVH14" s="45"/>
      <c r="AVI14" s="45"/>
      <c r="AVJ14" s="45"/>
      <c r="AVK14" s="45"/>
      <c r="AVL14" s="45"/>
      <c r="AVM14" s="45"/>
      <c r="AVN14" s="45"/>
      <c r="AVO14" s="45"/>
      <c r="AVP14" s="45"/>
      <c r="AVQ14" s="45"/>
      <c r="AVR14" s="45"/>
      <c r="AVS14" s="45"/>
      <c r="AVT14" s="45"/>
      <c r="AVU14" s="45"/>
      <c r="AVV14" s="45"/>
      <c r="AVW14" s="45"/>
      <c r="AVX14" s="45"/>
      <c r="AVY14" s="45"/>
      <c r="AVZ14" s="45"/>
      <c r="AWA14" s="45"/>
      <c r="AWB14" s="45"/>
      <c r="AWC14" s="45"/>
      <c r="AWD14" s="45"/>
      <c r="AWE14" s="45"/>
      <c r="AWF14" s="45"/>
      <c r="AWG14" s="45"/>
      <c r="AWH14" s="45"/>
      <c r="AWI14" s="45"/>
      <c r="AWJ14" s="45"/>
      <c r="AWK14" s="45"/>
      <c r="AWL14" s="45"/>
      <c r="AWM14" s="45"/>
      <c r="AWN14" s="45"/>
      <c r="AWO14" s="45"/>
      <c r="AWP14" s="45"/>
      <c r="AWQ14" s="45"/>
      <c r="AWR14" s="45"/>
      <c r="AWS14" s="45"/>
      <c r="AWT14" s="45"/>
    </row>
    <row r="15" spans="1:1294" s="68" customFormat="1" ht="19.05" customHeight="1">
      <c r="A15" s="53"/>
      <c r="B15" s="858"/>
      <c r="C15" s="72" t="s">
        <v>71</v>
      </c>
      <c r="D15" s="867"/>
      <c r="E15" s="80">
        <f>COUNTIFS(Table13514520105[[#All],[Sales]],"คุณธวัช มีแสง",Table13514520105[[#All],[ค่าขายอุปกรณ์]],"&gt;1")</f>
        <v>0</v>
      </c>
      <c r="F15" s="75">
        <f>SUMIF(Table13514520105[[#All],[Sales]],"คุณธวัช มีแสง",Table13514520105[[#All],[Total
คอมฯ อุปกรณ์]])</f>
        <v>0</v>
      </c>
      <c r="G15" s="75">
        <f t="shared" si="0"/>
        <v>0</v>
      </c>
      <c r="H15" s="75">
        <f t="shared" si="1"/>
        <v>0</v>
      </c>
      <c r="I15" s="51"/>
      <c r="J15" s="77"/>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row>
    <row r="16" spans="1:1294" s="68" customFormat="1" ht="19.05" customHeight="1">
      <c r="A16" s="53"/>
      <c r="B16" s="858"/>
      <c r="C16" s="72" t="s">
        <v>72</v>
      </c>
      <c r="D16" s="867"/>
      <c r="E16" s="80">
        <f>COUNTIFS(Table13514520105[[#All],[Sales]],"คุณแดง มูลสองแคว",Table13514520105[[#All],[ค่าขายอุปกรณ์]],"&gt;1")</f>
        <v>0</v>
      </c>
      <c r="F16" s="75">
        <f>SUMIF(Table13514520105[[#All],[Sales]],"คุณแดง มูลสองแคว",Table13514520105[[#All],[Total
คอมฯ อุปกรณ์]])</f>
        <v>0</v>
      </c>
      <c r="G16" s="75">
        <f t="shared" si="0"/>
        <v>0</v>
      </c>
      <c r="H16" s="75">
        <f t="shared" si="1"/>
        <v>0</v>
      </c>
      <c r="I16" s="51"/>
      <c r="J16" s="77"/>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row>
    <row r="17" spans="1:245" s="68" customFormat="1" ht="19.05" customHeight="1">
      <c r="A17" s="53"/>
      <c r="B17" s="858"/>
      <c r="C17" s="136" t="s">
        <v>73</v>
      </c>
      <c r="D17" s="867"/>
      <c r="E17" s="80">
        <f>COUNTIFS(Table13514520105[[#All],[Sales]],"คุณนิยนต์ อยู่ทะเล",Table13514520105[[#All],[ค่าขายอุปกรณ์]],"&gt;1")</f>
        <v>0</v>
      </c>
      <c r="F17" s="75">
        <f>SUMIF(Table13514520105[[#All],[Sales]],"คุณนิยนต์ อยู่ทะเล",Table13514520105[[#All],[Total
คอมฯ อุปกรณ์]])</f>
        <v>0</v>
      </c>
      <c r="G17" s="75">
        <f t="shared" ref="G17:G23" si="3">F17*$G$3</f>
        <v>0</v>
      </c>
      <c r="H17" s="75">
        <f t="shared" si="1"/>
        <v>0</v>
      </c>
      <c r="I17" s="51"/>
      <c r="J17" s="77"/>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row>
    <row r="18" spans="1:245" s="68" customFormat="1" ht="19.05" customHeight="1">
      <c r="A18" s="53"/>
      <c r="B18" s="858"/>
      <c r="C18" s="142" t="s">
        <v>67</v>
      </c>
      <c r="D18" s="867"/>
      <c r="E18" s="80">
        <f>COUNTIFS(Table13514520105[[#All],[Sales]],"คุณรุ่งอรุณ อินบุญรอด",Table13514520105[[#All],[ค่าขายอุปกรณ์]],"&gt;1")</f>
        <v>0</v>
      </c>
      <c r="F18" s="75">
        <f>SUMIF(Table13514520105[[#All],[Sales]],"คุณรุ่งอรุณ อินบุญรอด",Table13514520105[[#All],[Total
คอมฯ อุปกรณ์]])</f>
        <v>0</v>
      </c>
      <c r="G18" s="75">
        <f t="shared" si="3"/>
        <v>0</v>
      </c>
      <c r="H18" s="75">
        <f t="shared" si="1"/>
        <v>0</v>
      </c>
      <c r="I18" s="51"/>
      <c r="J18" s="77"/>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row>
    <row r="19" spans="1:245" s="68" customFormat="1" ht="19.05" customHeight="1">
      <c r="A19" s="53"/>
      <c r="B19" s="858"/>
      <c r="C19" s="191" t="s">
        <v>68</v>
      </c>
      <c r="D19" s="867"/>
      <c r="E19" s="80">
        <f>COUNTIFS(Table13514520105[[#All],[Sales]],"คุณศศินาถ จุ้ยอยู่ทอง",Table13514520105[[#All],[ค่าขายอุปกรณ์]],"&gt;1")</f>
        <v>0</v>
      </c>
      <c r="F19" s="75">
        <f>SUMIF(Table13514520105[[#All],[Sales]],"คุณศศินาถ จุ้ยอยู่ทอง",Table13514520105[[#All],[Total
คอมฯ อุปกรณ์]])</f>
        <v>0</v>
      </c>
      <c r="G19" s="75">
        <f t="shared" si="3"/>
        <v>0</v>
      </c>
      <c r="H19" s="75">
        <f t="shared" si="1"/>
        <v>0</v>
      </c>
      <c r="I19" s="51"/>
      <c r="J19" s="77"/>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row>
    <row r="20" spans="1:245" s="68" customFormat="1" ht="19.05" customHeight="1">
      <c r="A20" s="53"/>
      <c r="B20" s="858"/>
      <c r="C20" s="191" t="s">
        <v>90</v>
      </c>
      <c r="D20" s="867"/>
      <c r="E20" s="80">
        <f>COUNTIFS(Table13514520105[[#All],[Sales]],"คุณณรงศ์ศักย์ เหล่ารัตนเวช",Table13514520105[[#All],[ค่าขายอุปกรณ์]],"&gt;1")</f>
        <v>0</v>
      </c>
      <c r="F20" s="75">
        <f>SUMIF(Table13514520105[[#All],[Sales]],"คุณณรงศ์ศักย์ เหล่ารัตนเวช",Table13514520105[[#All],[Total
คอมฯ อุปกรณ์]])</f>
        <v>0</v>
      </c>
      <c r="G20" s="75">
        <f t="shared" si="3"/>
        <v>0</v>
      </c>
      <c r="H20" s="75">
        <f t="shared" si="1"/>
        <v>0</v>
      </c>
      <c r="I20" s="51"/>
      <c r="J20" s="77"/>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row>
    <row r="21" spans="1:245" s="68" customFormat="1" ht="19.05" customHeight="1">
      <c r="A21" s="53"/>
      <c r="B21" s="858"/>
      <c r="C21" s="190" t="s">
        <v>130</v>
      </c>
      <c r="D21" s="867"/>
      <c r="E21" s="80">
        <f>COUNTIFS(Table13514520105[[#All],[Sales]],"คุณชนัฐฎา สนคะมี",Table13514520105[[#All],[ค่าขายอุปกรณ์]],"&gt;1")</f>
        <v>0</v>
      </c>
      <c r="F21" s="75">
        <f>SUMIF(Table13514520105[[#All],[Sales]],"คุณชนัฐฎา สนคะมี",Table13514520105[[#All],[Total
คอมฯ อุปกรณ์]])</f>
        <v>0</v>
      </c>
      <c r="G21" s="75">
        <f t="shared" si="3"/>
        <v>0</v>
      </c>
      <c r="H21" s="75">
        <f t="shared" si="1"/>
        <v>0</v>
      </c>
      <c r="I21" s="51"/>
      <c r="J21" s="77"/>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row>
    <row r="22" spans="1:245" s="68" customFormat="1" ht="19.05" customHeight="1">
      <c r="A22" s="70"/>
      <c r="B22" s="858"/>
      <c r="C22" s="73" t="s">
        <v>69</v>
      </c>
      <c r="D22" s="868"/>
      <c r="E22" s="80">
        <f>COUNTIFS(Table13514520105[[#All],[Sales]],"คุณธัญลักษณ์ หมื่นหลุบกุง",Table13514520105[[#All],[ค่าขายอุปกรณ์]],"&gt;1")</f>
        <v>0</v>
      </c>
      <c r="F22" s="75">
        <f>SUMIF(Table13514520105[[#All],[Sales]],"คุณธัญลักษณ์ หมื่นหลุบกุง",Table13514520105[[#All],[Total
คอมฯ อุปกรณ์]])</f>
        <v>0</v>
      </c>
      <c r="G22" s="75">
        <f t="shared" si="3"/>
        <v>0</v>
      </c>
      <c r="H22" s="75">
        <f t="shared" si="1"/>
        <v>0</v>
      </c>
      <c r="I22" s="51"/>
      <c r="J22" s="51"/>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row>
    <row r="23" spans="1:245" s="45" customFormat="1" ht="19.05" customHeight="1">
      <c r="A23" s="69">
        <v>3</v>
      </c>
      <c r="B23" s="859" t="s">
        <v>20</v>
      </c>
      <c r="C23" s="72" t="s">
        <v>70</v>
      </c>
      <c r="D23" s="863" t="s">
        <v>27</v>
      </c>
      <c r="E23" s="80">
        <f>COUNTIFS(Table13514520105[[#All],[Sales]],"คุณนิมิต จุ้ยอยู่ทอง",Table13514520105[[#All],[Total 
คอมฯค่าติดตั้ง/ค่าเชื่อมสัญญาณ]],"&gt;1")</f>
        <v>0</v>
      </c>
      <c r="F23" s="75">
        <f>SUMIF(Table13514520105[[#All],[Sales]],"คุณนิมิต จุ้ยอยู่ทอง",Table13514520105[[#All],[Total 
คอมฯค่าติดตั้ง/ค่าเชื่อมสัญญาณ]])</f>
        <v>0</v>
      </c>
      <c r="G23" s="75">
        <f t="shared" si="3"/>
        <v>0</v>
      </c>
      <c r="H23" s="75">
        <f t="shared" si="1"/>
        <v>0</v>
      </c>
      <c r="I23" s="51"/>
      <c r="J23" s="54"/>
    </row>
    <row r="24" spans="1:245" s="45" customFormat="1" ht="19.05" customHeight="1">
      <c r="A24" s="53"/>
      <c r="B24" s="859"/>
      <c r="C24" s="74" t="s">
        <v>71</v>
      </c>
      <c r="D24" s="869"/>
      <c r="E24" s="80">
        <f>COUNTIFS(Table13514520105[[#All],[Sales]],"คุณธวัช มีแสง",Table13514520105[[#All],[Total 
คอมฯค่าติดตั้ง/ค่าเชื่อมสัญญาณ]],"&gt;1")</f>
        <v>0</v>
      </c>
      <c r="F24" s="75">
        <f>SUMIF(Table13514520105[[#All],[Sales]],"คุณธวัช มีแสง",Table13514520105[[#All],[Total 
คอมฯค่าติดตั้ง/ค่าเชื่อมสัญญาณ]])</f>
        <v>0</v>
      </c>
      <c r="G24" s="75">
        <f t="shared" ref="G24:G31" si="4">F24*$G$3</f>
        <v>0</v>
      </c>
      <c r="H24" s="75">
        <f t="shared" ref="H24:H31" si="5">SUM(F24-G24)</f>
        <v>0</v>
      </c>
      <c r="I24" s="51"/>
      <c r="J24" s="54"/>
    </row>
    <row r="25" spans="1:245" s="45" customFormat="1" ht="19.05" customHeight="1">
      <c r="A25" s="53"/>
      <c r="B25" s="859"/>
      <c r="C25" s="74" t="s">
        <v>72</v>
      </c>
      <c r="D25" s="869"/>
      <c r="E25" s="80">
        <f>COUNTIFS(Table13514520105[[#All],[Sales]],"คุณแดง มูลสองแคว",Table13514520105[[#All],[Total 
คอมฯค่าติดตั้ง/ค่าเชื่อมสัญญาณ]],"&gt;1")</f>
        <v>0</v>
      </c>
      <c r="F25" s="75">
        <f>SUMIF(Table13514520105[[#All],[Sales]],"คุณแดง มูลสองแคว",Table13514520105[[#All],[Total 
คอมฯค่าติดตั้ง/ค่าเชื่อมสัญญาณ]])</f>
        <v>0</v>
      </c>
      <c r="G25" s="75">
        <f t="shared" si="4"/>
        <v>0</v>
      </c>
      <c r="H25" s="75">
        <f t="shared" si="5"/>
        <v>0</v>
      </c>
      <c r="I25" s="51"/>
      <c r="J25" s="54"/>
    </row>
    <row r="26" spans="1:245" s="45" customFormat="1" ht="19.05" customHeight="1">
      <c r="A26" s="53"/>
      <c r="B26" s="860"/>
      <c r="C26" s="136" t="s">
        <v>73</v>
      </c>
      <c r="D26" s="869"/>
      <c r="E26" s="80">
        <f>COUNTIFS(Table13514520105[[#All],[Sales]],"คุณนิยนต์ อยู่ทะเล",Table13514520105[[#All],[Total 
คอมฯค่าติดตั้ง/ค่าเชื่อมสัญญาณ]],"&gt;1")</f>
        <v>0</v>
      </c>
      <c r="F26" s="75">
        <f>SUMIF(Table13514520105[[#All],[Sales]],"คุณนิยนต์ อยู่ทะเล",Table13514520105[[#All],[Total 
คอมฯค่าติดตั้ง/ค่าเชื่อมสัญญาณ]])</f>
        <v>0</v>
      </c>
      <c r="G26" s="75">
        <f t="shared" si="4"/>
        <v>0</v>
      </c>
      <c r="H26" s="75">
        <f t="shared" si="5"/>
        <v>0</v>
      </c>
      <c r="I26" s="51"/>
      <c r="J26" s="54"/>
    </row>
    <row r="27" spans="1:245" s="45" customFormat="1" ht="19.05" customHeight="1">
      <c r="A27" s="53"/>
      <c r="B27" s="861"/>
      <c r="C27" s="142" t="s">
        <v>67</v>
      </c>
      <c r="D27" s="869"/>
      <c r="E27" s="80">
        <f>COUNTIFS(Table13514520105[[#All],[Sales]],"คุณรุ่งอรุณ อินบุญรอด",Table13514520105[[#All],[Total 
คอมฯค่าติดตั้ง/ค่าเชื่อมสัญญาณ]],"&gt;1")</f>
        <v>0</v>
      </c>
      <c r="F27" s="75">
        <f>SUMIF(Table13514520105[[#All],[Sales]],"คุณรุ่งอรุณ อินบุญรอด",Table13514520105[[#All],[Total 
คอมฯค่าติดตั้ง/ค่าเชื่อมสัญญาณ]])</f>
        <v>0</v>
      </c>
      <c r="G27" s="75">
        <f t="shared" si="4"/>
        <v>0</v>
      </c>
      <c r="H27" s="75">
        <f t="shared" si="5"/>
        <v>0</v>
      </c>
      <c r="I27" s="51"/>
      <c r="J27" s="54"/>
    </row>
    <row r="28" spans="1:245" s="45" customFormat="1" ht="19.05" customHeight="1">
      <c r="A28" s="53"/>
      <c r="B28" s="862"/>
      <c r="C28" s="191" t="s">
        <v>68</v>
      </c>
      <c r="D28" s="869"/>
      <c r="E28" s="80">
        <f>COUNTIFS(Table13514520105[[#All],[Sales]],"คุณศศินาถ จุ้ยอยู่ทอง",Table13514520105[[#All],[Total 
คอมฯค่าติดตั้ง/ค่าเชื่อมสัญญาณ]],"&gt;1")</f>
        <v>0</v>
      </c>
      <c r="F28" s="75">
        <f>SUMIF(Table13514520105[[#All],[Sales]],"คุณศศินาถ จุ้ยอยู่ทอง",Table13514520105[[#All],[Total 
คอมฯค่าติดตั้ง/ค่าเชื่อมสัญญาณ]])</f>
        <v>0</v>
      </c>
      <c r="G28" s="75">
        <f t="shared" si="4"/>
        <v>0</v>
      </c>
      <c r="H28" s="75">
        <f t="shared" si="5"/>
        <v>0</v>
      </c>
      <c r="I28" s="51"/>
      <c r="J28" s="54"/>
    </row>
    <row r="29" spans="1:245" s="45" customFormat="1" ht="19.05" customHeight="1">
      <c r="A29" s="53"/>
      <c r="B29" s="862"/>
      <c r="C29" s="191" t="s">
        <v>90</v>
      </c>
      <c r="D29" s="869"/>
      <c r="E29" s="80">
        <f>COUNTIFS(Table13514520105[[#All],[Sales]],"คุณณรงศ์ศักย์ เหล่ารัตนเวช",Table13514520105[[#All],[Total 
คอมฯค่าติดตั้ง/ค่าเชื่อมสัญญาณ]],"&gt;1")</f>
        <v>0</v>
      </c>
      <c r="F29" s="75">
        <f>SUMIF(Table13514520105[[#All],[Sales]],"คุณณรงศ์ศักย์ เหล่ารัตนเวช",Table13514520105[[#All],[Total 
คอมฯค่าติดตั้ง/ค่าเชื่อมสัญญาณ]])</f>
        <v>0</v>
      </c>
      <c r="G29" s="75">
        <f t="shared" si="4"/>
        <v>0</v>
      </c>
      <c r="H29" s="75">
        <f t="shared" si="5"/>
        <v>0</v>
      </c>
      <c r="I29" s="51"/>
      <c r="J29" s="54"/>
    </row>
    <row r="30" spans="1:245" s="45" customFormat="1" ht="19.05" customHeight="1">
      <c r="A30" s="53"/>
      <c r="B30" s="862"/>
      <c r="C30" s="190" t="s">
        <v>130</v>
      </c>
      <c r="D30" s="869"/>
      <c r="E30" s="80">
        <f>COUNTIFS(Table13514520105[[#All],[Sales]],"คุณชนัฐฎา สนคะมี",Table13514520105[[#All],[Total 
คอมฯค่าติดตั้ง/ค่าเชื่อมสัญญาณ]],"&gt;1")</f>
        <v>0</v>
      </c>
      <c r="F30" s="75">
        <f>SUMIF(Table13514520105[[#All],[Sales]],"คุณชนัฐฎา สนคะมี",Table13514520105[[#All],[Total 
คอมฯค่าติดตั้ง/ค่าเชื่อมสัญญาณ]])</f>
        <v>0</v>
      </c>
      <c r="G30" s="75">
        <f>F30*$G$3</f>
        <v>0</v>
      </c>
      <c r="H30" s="75">
        <f>SUM(F30-G30)</f>
        <v>0</v>
      </c>
      <c r="I30" s="51"/>
      <c r="J30" s="54"/>
    </row>
    <row r="31" spans="1:245" s="45" customFormat="1" ht="19.05" customHeight="1">
      <c r="A31" s="53"/>
      <c r="B31" s="859"/>
      <c r="C31" s="119" t="s">
        <v>69</v>
      </c>
      <c r="D31" s="870"/>
      <c r="E31" s="80">
        <f>COUNTIFS(Table13514520105[[#All],[Sales]],"คุณธัญลักษณ์ หมื่นหลุบกุง",Table13514520105[[#All],[Total 
คอมฯค่าติดตั้ง/ค่าเชื่อมสัญญาณ]],"&gt;1")</f>
        <v>0</v>
      </c>
      <c r="F31" s="75">
        <f>SUMIF(Table13514520105[[#All],[Sales]],"คุณธัญลักษณ์ หมื่นหลุบกุง",Table13514520105[[#All],[Total 
คอมฯค่าติดตั้ง/ค่าเชื่อมสัญญาณ]])</f>
        <v>0</v>
      </c>
      <c r="G31" s="75">
        <f t="shared" si="4"/>
        <v>0</v>
      </c>
      <c r="H31" s="75">
        <f t="shared" si="5"/>
        <v>0</v>
      </c>
      <c r="I31" s="54"/>
      <c r="J31" s="54"/>
    </row>
    <row r="32" spans="1:245" s="45" customFormat="1" ht="21" customHeight="1">
      <c r="A32" s="55"/>
      <c r="B32" s="56" t="s">
        <v>12</v>
      </c>
      <c r="C32" s="56"/>
      <c r="D32" s="56"/>
      <c r="E32" s="57">
        <f>SUM(E5:E31)</f>
        <v>4</v>
      </c>
      <c r="F32" s="57">
        <f>SUM(F5:F31)</f>
        <v>18542.060000000001</v>
      </c>
      <c r="G32" s="57">
        <f>SUM(G5:G31)</f>
        <v>0</v>
      </c>
      <c r="H32" s="71">
        <f>SUM(H5:H31)</f>
        <v>18542.060000000001</v>
      </c>
      <c r="I32" s="54"/>
      <c r="J32" s="54"/>
    </row>
    <row r="33" spans="2:13" s="45" customFormat="1" ht="13.95" customHeight="1">
      <c r="B33" s="81"/>
      <c r="C33" s="81"/>
      <c r="D33" s="81"/>
      <c r="E33" s="82"/>
      <c r="F33" s="82"/>
      <c r="G33" s="82"/>
      <c r="H33" s="84"/>
      <c r="I33" s="82"/>
    </row>
    <row r="34" spans="2:13" s="45" customFormat="1" ht="7.95" customHeight="1">
      <c r="B34" s="81"/>
      <c r="C34" s="81"/>
      <c r="D34" s="81"/>
      <c r="E34" s="82"/>
      <c r="F34" s="82"/>
      <c r="G34" s="82"/>
      <c r="H34" s="82"/>
      <c r="I34" s="82"/>
    </row>
    <row r="35" spans="2:13" ht="19.95" customHeight="1">
      <c r="B35" s="851" t="s">
        <v>93</v>
      </c>
      <c r="C35" s="851"/>
      <c r="D35" s="851"/>
      <c r="E35" s="851"/>
      <c r="F35" s="851"/>
      <c r="G35" s="851"/>
      <c r="H35" s="851"/>
      <c r="I35" s="851"/>
      <c r="J35" s="851"/>
      <c r="K35" s="851"/>
      <c r="L35" s="851"/>
      <c r="M35" s="851"/>
    </row>
    <row r="36" spans="2:13" s="45" customFormat="1" ht="14.55" customHeight="1">
      <c r="B36" s="851"/>
      <c r="C36" s="851"/>
      <c r="D36" s="851"/>
      <c r="E36" s="851"/>
      <c r="F36" s="851"/>
      <c r="G36" s="851"/>
      <c r="H36" s="851"/>
      <c r="I36" s="851"/>
      <c r="J36" s="851"/>
      <c r="K36" s="851"/>
      <c r="L36" s="851"/>
      <c r="M36" s="851"/>
    </row>
    <row r="37" spans="2:13" s="201" customFormat="1" ht="70.2" customHeight="1">
      <c r="B37" s="214" t="s">
        <v>41</v>
      </c>
      <c r="C37" s="214" t="s">
        <v>13</v>
      </c>
      <c r="D37" s="214" t="s">
        <v>35</v>
      </c>
      <c r="E37" s="215" t="s">
        <v>33</v>
      </c>
      <c r="F37" s="215" t="s">
        <v>15</v>
      </c>
      <c r="G37" s="215" t="s">
        <v>34</v>
      </c>
      <c r="H37" s="216" t="s">
        <v>32</v>
      </c>
      <c r="I37" s="214" t="s">
        <v>30</v>
      </c>
      <c r="J37" s="216" t="s">
        <v>57</v>
      </c>
      <c r="K37" s="214" t="s">
        <v>58</v>
      </c>
      <c r="L37" s="217" t="s">
        <v>76</v>
      </c>
      <c r="M37" s="210" t="s">
        <v>77</v>
      </c>
    </row>
    <row r="38" spans="2:13" ht="19.95" customHeight="1">
      <c r="B38" s="196" t="s">
        <v>23</v>
      </c>
      <c r="C38" s="193" t="s">
        <v>78</v>
      </c>
      <c r="D38" s="197" t="s">
        <v>70</v>
      </c>
      <c r="E38" s="222">
        <f t="shared" ref="E38:E45" si="6">SUM(G65)</f>
        <v>3406.5450000000001</v>
      </c>
      <c r="F38" s="223">
        <v>0</v>
      </c>
      <c r="G38" s="224">
        <f>SUM(E38-F38)</f>
        <v>3406.5450000000001</v>
      </c>
      <c r="H38" s="198">
        <v>0</v>
      </c>
      <c r="I38" s="225">
        <f>SUM(G38-H38)</f>
        <v>3406.5450000000001</v>
      </c>
      <c r="J38" s="226">
        <f>I38*3%</f>
        <v>102.19635</v>
      </c>
      <c r="K38" s="227">
        <f>I38-J38</f>
        <v>3304.3486499999999</v>
      </c>
      <c r="L38" s="195" t="s">
        <v>88</v>
      </c>
      <c r="M38" s="173" t="s">
        <v>81</v>
      </c>
    </row>
    <row r="39" spans="2:13" ht="19.95" customHeight="1">
      <c r="B39" s="196"/>
      <c r="C39" s="193" t="s">
        <v>78</v>
      </c>
      <c r="D39" s="197" t="s">
        <v>71</v>
      </c>
      <c r="E39" s="222">
        <f t="shared" si="6"/>
        <v>0</v>
      </c>
      <c r="F39" s="223"/>
      <c r="G39" s="224">
        <f t="shared" ref="G39:G49" si="7">SUM(E39-F39)</f>
        <v>0</v>
      </c>
      <c r="H39" s="198">
        <v>0</v>
      </c>
      <c r="I39" s="225">
        <f t="shared" ref="I39:I49" si="8">SUM(G39-H39)</f>
        <v>0</v>
      </c>
      <c r="J39" s="226">
        <f t="shared" ref="J39:J49" si="9">I39*3%</f>
        <v>0</v>
      </c>
      <c r="K39" s="227">
        <f t="shared" ref="K39:K49" si="10">I39-J39</f>
        <v>0</v>
      </c>
      <c r="L39" s="195" t="s">
        <v>88</v>
      </c>
      <c r="M39" s="173" t="s">
        <v>82</v>
      </c>
    </row>
    <row r="40" spans="2:13" ht="19.95" customHeight="1">
      <c r="B40" s="196"/>
      <c r="C40" s="193" t="s">
        <v>78</v>
      </c>
      <c r="D40" s="197" t="s">
        <v>72</v>
      </c>
      <c r="E40" s="228">
        <f t="shared" si="6"/>
        <v>3000</v>
      </c>
      <c r="F40" s="224">
        <v>0</v>
      </c>
      <c r="G40" s="224">
        <f t="shared" ref="G40:G45" si="11">SUM(E40-F40)</f>
        <v>3000</v>
      </c>
      <c r="H40" s="194">
        <v>0</v>
      </c>
      <c r="I40" s="225">
        <f t="shared" ref="I40:I45" si="12">SUM(G40-H40)</f>
        <v>3000</v>
      </c>
      <c r="J40" s="226">
        <f t="shared" ref="J40:J45" si="13">I40*3%</f>
        <v>90</v>
      </c>
      <c r="K40" s="227">
        <f t="shared" ref="K40:K45" si="14">I40-J40</f>
        <v>2910</v>
      </c>
      <c r="L40" s="195" t="s">
        <v>88</v>
      </c>
      <c r="M40" s="173" t="s">
        <v>83</v>
      </c>
    </row>
    <row r="41" spans="2:13" ht="19.95" customHeight="1">
      <c r="B41" s="196"/>
      <c r="C41" s="193" t="s">
        <v>17</v>
      </c>
      <c r="D41" s="197" t="s">
        <v>73</v>
      </c>
      <c r="E41" s="228">
        <f t="shared" si="6"/>
        <v>0</v>
      </c>
      <c r="F41" s="224">
        <v>0</v>
      </c>
      <c r="G41" s="224">
        <f t="shared" si="11"/>
        <v>0</v>
      </c>
      <c r="H41" s="194">
        <v>0</v>
      </c>
      <c r="I41" s="225">
        <f t="shared" si="12"/>
        <v>0</v>
      </c>
      <c r="J41" s="226">
        <f t="shared" si="13"/>
        <v>0</v>
      </c>
      <c r="K41" s="227">
        <f t="shared" si="14"/>
        <v>0</v>
      </c>
      <c r="L41" s="195" t="s">
        <v>88</v>
      </c>
      <c r="M41" s="173" t="s">
        <v>84</v>
      </c>
    </row>
    <row r="42" spans="2:13" ht="19.95" customHeight="1">
      <c r="B42" s="196"/>
      <c r="C42" s="193" t="s">
        <v>78</v>
      </c>
      <c r="D42" s="197" t="s">
        <v>67</v>
      </c>
      <c r="E42" s="228">
        <f t="shared" si="6"/>
        <v>2625</v>
      </c>
      <c r="F42" s="224">
        <v>0</v>
      </c>
      <c r="G42" s="224">
        <f t="shared" si="11"/>
        <v>2625</v>
      </c>
      <c r="H42" s="194">
        <v>0</v>
      </c>
      <c r="I42" s="225">
        <f t="shared" si="12"/>
        <v>2625</v>
      </c>
      <c r="J42" s="226">
        <f t="shared" si="13"/>
        <v>78.75</v>
      </c>
      <c r="K42" s="227">
        <f t="shared" si="14"/>
        <v>2546.25</v>
      </c>
      <c r="L42" s="195" t="s">
        <v>88</v>
      </c>
      <c r="M42" s="173" t="s">
        <v>85</v>
      </c>
    </row>
    <row r="43" spans="2:13" ht="19.95" customHeight="1">
      <c r="B43" s="196"/>
      <c r="C43" s="193" t="s">
        <v>78</v>
      </c>
      <c r="D43" s="197" t="s">
        <v>68</v>
      </c>
      <c r="E43" s="228">
        <f t="shared" si="6"/>
        <v>4875</v>
      </c>
      <c r="F43" s="224">
        <v>0</v>
      </c>
      <c r="G43" s="224">
        <f t="shared" si="11"/>
        <v>4875</v>
      </c>
      <c r="H43" s="194">
        <v>0</v>
      </c>
      <c r="I43" s="225">
        <f t="shared" si="12"/>
        <v>4875</v>
      </c>
      <c r="J43" s="226">
        <f t="shared" si="13"/>
        <v>146.25</v>
      </c>
      <c r="K43" s="227">
        <f t="shared" si="14"/>
        <v>4728.75</v>
      </c>
      <c r="L43" s="195" t="s">
        <v>88</v>
      </c>
      <c r="M43" s="173" t="s">
        <v>86</v>
      </c>
    </row>
    <row r="44" spans="2:13" ht="19.95" customHeight="1">
      <c r="B44" s="196"/>
      <c r="C44" s="193" t="s">
        <v>78</v>
      </c>
      <c r="D44" s="197" t="s">
        <v>90</v>
      </c>
      <c r="E44" s="228">
        <f t="shared" si="6"/>
        <v>0</v>
      </c>
      <c r="F44" s="224">
        <v>0</v>
      </c>
      <c r="G44" s="224">
        <f t="shared" si="11"/>
        <v>0</v>
      </c>
      <c r="H44" s="194">
        <v>0</v>
      </c>
      <c r="I44" s="225">
        <f t="shared" si="12"/>
        <v>0</v>
      </c>
      <c r="J44" s="226">
        <f t="shared" si="13"/>
        <v>0</v>
      </c>
      <c r="K44" s="227">
        <f t="shared" si="14"/>
        <v>0</v>
      </c>
      <c r="L44" s="195" t="s">
        <v>88</v>
      </c>
      <c r="M44" s="173" t="s">
        <v>91</v>
      </c>
    </row>
    <row r="45" spans="2:13" ht="19.95" customHeight="1">
      <c r="B45" s="196"/>
      <c r="C45" s="193" t="s">
        <v>17</v>
      </c>
      <c r="D45" s="197" t="s">
        <v>130</v>
      </c>
      <c r="E45" s="228">
        <f t="shared" si="6"/>
        <v>0</v>
      </c>
      <c r="F45" s="224">
        <v>0</v>
      </c>
      <c r="G45" s="224">
        <f t="shared" si="11"/>
        <v>0</v>
      </c>
      <c r="H45" s="194">
        <v>0</v>
      </c>
      <c r="I45" s="225">
        <f t="shared" si="12"/>
        <v>0</v>
      </c>
      <c r="J45" s="226">
        <f t="shared" si="13"/>
        <v>0</v>
      </c>
      <c r="K45" s="227">
        <f t="shared" si="14"/>
        <v>0</v>
      </c>
      <c r="L45" s="172" t="s">
        <v>88</v>
      </c>
      <c r="M45" s="200" t="s">
        <v>131</v>
      </c>
    </row>
    <row r="46" spans="2:13" ht="19.95" customHeight="1">
      <c r="B46" s="196"/>
      <c r="C46" s="193" t="s">
        <v>78</v>
      </c>
      <c r="D46" s="197" t="s">
        <v>69</v>
      </c>
      <c r="E46" s="228">
        <f>SUM(G73)</f>
        <v>0</v>
      </c>
      <c r="F46" s="224">
        <v>0</v>
      </c>
      <c r="G46" s="224">
        <f t="shared" si="7"/>
        <v>0</v>
      </c>
      <c r="H46" s="194">
        <v>0</v>
      </c>
      <c r="I46" s="225">
        <f t="shared" si="8"/>
        <v>0</v>
      </c>
      <c r="J46" s="226">
        <f t="shared" si="9"/>
        <v>0</v>
      </c>
      <c r="K46" s="227">
        <f t="shared" si="10"/>
        <v>0</v>
      </c>
      <c r="L46" s="195" t="s">
        <v>88</v>
      </c>
      <c r="M46" s="174" t="s">
        <v>87</v>
      </c>
    </row>
    <row r="47" spans="2:13" ht="19.95" customHeight="1">
      <c r="B47" s="196" t="s">
        <v>60</v>
      </c>
      <c r="C47" s="193" t="s">
        <v>78</v>
      </c>
      <c r="D47" s="197" t="s">
        <v>71</v>
      </c>
      <c r="E47" s="228">
        <f>SUM(G74)</f>
        <v>927.10300000000007</v>
      </c>
      <c r="F47" s="224">
        <v>0</v>
      </c>
      <c r="G47" s="224">
        <f t="shared" si="7"/>
        <v>927.10300000000007</v>
      </c>
      <c r="H47" s="194">
        <v>0</v>
      </c>
      <c r="I47" s="225">
        <f t="shared" si="8"/>
        <v>927.10300000000007</v>
      </c>
      <c r="J47" s="226">
        <f t="shared" si="9"/>
        <v>27.813090000000003</v>
      </c>
      <c r="K47" s="227">
        <f t="shared" si="10"/>
        <v>899.28991000000008</v>
      </c>
      <c r="L47" s="195" t="s">
        <v>88</v>
      </c>
      <c r="M47" s="172" t="s">
        <v>82</v>
      </c>
    </row>
    <row r="48" spans="2:13" ht="19.95" customHeight="1">
      <c r="B48" s="196" t="s">
        <v>24</v>
      </c>
      <c r="C48" s="193" t="s">
        <v>61</v>
      </c>
      <c r="D48" s="197" t="s">
        <v>97</v>
      </c>
      <c r="E48" s="228">
        <f>SUM(G75)</f>
        <v>2225.0472</v>
      </c>
      <c r="F48" s="224">
        <v>0</v>
      </c>
      <c r="G48" s="224">
        <f t="shared" si="7"/>
        <v>2225.0472</v>
      </c>
      <c r="H48" s="194">
        <v>0</v>
      </c>
      <c r="I48" s="225">
        <f t="shared" si="8"/>
        <v>2225.0472</v>
      </c>
      <c r="J48" s="226">
        <f t="shared" si="9"/>
        <v>66.751415999999992</v>
      </c>
      <c r="K48" s="227">
        <f t="shared" si="10"/>
        <v>2158.2957839999999</v>
      </c>
      <c r="L48" s="195" t="s">
        <v>88</v>
      </c>
      <c r="M48" s="172" t="s">
        <v>98</v>
      </c>
    </row>
    <row r="49" spans="1:13" ht="19.95" customHeight="1">
      <c r="B49" s="196" t="s">
        <v>25</v>
      </c>
      <c r="C49" s="193" t="s">
        <v>61</v>
      </c>
      <c r="D49" s="197" t="s">
        <v>79</v>
      </c>
      <c r="E49" s="228">
        <f>SUM(G76)</f>
        <v>1483.3648000000001</v>
      </c>
      <c r="F49" s="224">
        <v>0</v>
      </c>
      <c r="G49" s="224">
        <f t="shared" si="7"/>
        <v>1483.3648000000001</v>
      </c>
      <c r="H49" s="194">
        <v>0</v>
      </c>
      <c r="I49" s="225">
        <f t="shared" si="8"/>
        <v>1483.3648000000001</v>
      </c>
      <c r="J49" s="226">
        <f t="shared" si="9"/>
        <v>44.500943999999997</v>
      </c>
      <c r="K49" s="227">
        <f t="shared" si="10"/>
        <v>1438.8638560000002</v>
      </c>
      <c r="L49" s="195" t="s">
        <v>88</v>
      </c>
      <c r="M49" s="172" t="s">
        <v>89</v>
      </c>
    </row>
    <row r="50" spans="1:13" ht="23.4" customHeight="1">
      <c r="B50" s="199"/>
      <c r="C50" s="200"/>
      <c r="D50" s="229"/>
      <c r="E50" s="230"/>
      <c r="F50" s="223"/>
      <c r="G50" s="231">
        <f>SUM(G38:G49)</f>
        <v>18542.060000000001</v>
      </c>
      <c r="H50" s="231">
        <f>SUM(H38:H49)</f>
        <v>0</v>
      </c>
      <c r="I50" s="232">
        <f>SUM(I38:I49)</f>
        <v>18542.060000000001</v>
      </c>
      <c r="J50" s="231">
        <f>SUM(J38:J49)</f>
        <v>556.26179999999999</v>
      </c>
      <c r="K50" s="232">
        <f>SUM(K38:K49)</f>
        <v>17985.798200000001</v>
      </c>
      <c r="L50" s="233"/>
      <c r="M50" s="233"/>
    </row>
    <row r="51" spans="1:13" ht="15.6">
      <c r="B51" s="61"/>
      <c r="C51" s="61"/>
      <c r="D51" s="62"/>
      <c r="E51" s="184"/>
      <c r="F51" s="185"/>
      <c r="G51" s="185"/>
      <c r="H51" s="186"/>
      <c r="I51" s="58"/>
      <c r="J51" s="58"/>
    </row>
    <row r="52" spans="1:13" ht="15.6">
      <c r="B52" s="61"/>
      <c r="C52" s="61"/>
      <c r="D52" s="62"/>
      <c r="E52" s="184"/>
      <c r="F52" s="185"/>
      <c r="G52" s="185"/>
      <c r="H52" s="185"/>
      <c r="I52" s="185"/>
      <c r="J52" s="58"/>
    </row>
    <row r="53" spans="1:13" s="175" customFormat="1" ht="14.55" customHeight="1">
      <c r="E53" s="187"/>
      <c r="F53" s="187"/>
      <c r="G53" s="187"/>
      <c r="H53" s="187"/>
      <c r="I53" s="58"/>
      <c r="J53" s="58"/>
      <c r="K53" s="58"/>
      <c r="L53" s="58"/>
      <c r="M53" s="58"/>
    </row>
    <row r="54" spans="1:13" ht="13.8">
      <c r="E54" s="188"/>
      <c r="F54" s="188"/>
      <c r="G54" s="188"/>
      <c r="H54" s="188"/>
      <c r="I54" s="58"/>
      <c r="J54" s="58"/>
    </row>
    <row r="55" spans="1:13" ht="13.8">
      <c r="E55" s="188"/>
      <c r="F55" s="188"/>
      <c r="G55" s="188"/>
      <c r="H55" s="188"/>
      <c r="I55" s="58"/>
      <c r="J55" s="58"/>
    </row>
    <row r="56" spans="1:13" ht="13.8">
      <c r="E56" s="188"/>
      <c r="F56" s="188"/>
      <c r="G56" s="188"/>
      <c r="H56" s="188"/>
      <c r="I56" s="58"/>
      <c r="J56" s="58"/>
    </row>
    <row r="57" spans="1:13" ht="13.8">
      <c r="E57" s="188"/>
      <c r="F57" s="188"/>
      <c r="G57" s="188"/>
      <c r="H57" s="188"/>
      <c r="I57" s="58"/>
      <c r="J57" s="58"/>
    </row>
    <row r="58" spans="1:13" ht="13.8">
      <c r="A58" s="64"/>
      <c r="B58" s="65"/>
      <c r="C58" s="65"/>
      <c r="E58" s="66"/>
      <c r="F58" s="58"/>
      <c r="G58" s="58"/>
      <c r="H58" s="87"/>
      <c r="I58" s="87"/>
      <c r="J58" s="58"/>
    </row>
    <row r="59" spans="1:13" s="45" customFormat="1" ht="13.8">
      <c r="E59" s="44"/>
      <c r="F59" s="44"/>
      <c r="G59" s="44"/>
      <c r="H59" s="87"/>
      <c r="I59" s="87"/>
      <c r="J59" s="58"/>
      <c r="K59" s="58"/>
    </row>
    <row r="60" spans="1:13" s="45" customFormat="1" ht="13.8">
      <c r="E60" s="44"/>
      <c r="F60" s="44"/>
      <c r="G60" s="44"/>
      <c r="H60" s="87"/>
      <c r="I60" s="87"/>
      <c r="J60" s="58"/>
      <c r="K60" s="58"/>
    </row>
    <row r="61" spans="1:13" s="45" customFormat="1" ht="13.8">
      <c r="E61" s="44"/>
      <c r="F61" s="44"/>
      <c r="G61" s="44"/>
      <c r="H61" s="87"/>
      <c r="I61" s="87"/>
      <c r="J61" s="58"/>
      <c r="K61" s="58"/>
    </row>
    <row r="62" spans="1:13" s="45" customFormat="1" ht="13.8" hidden="1">
      <c r="E62" s="44"/>
      <c r="F62" s="44"/>
      <c r="G62" s="44"/>
      <c r="H62" s="87"/>
      <c r="I62" s="87"/>
      <c r="J62" s="58"/>
      <c r="K62" s="58"/>
    </row>
    <row r="63" spans="1:13" ht="19.95" hidden="1" customHeight="1">
      <c r="B63" s="211" t="s">
        <v>80</v>
      </c>
      <c r="C63" s="212"/>
      <c r="D63" s="212"/>
      <c r="E63" s="212"/>
      <c r="F63" s="212"/>
      <c r="G63" s="213"/>
      <c r="H63" s="87"/>
      <c r="I63" s="87"/>
      <c r="J63" s="58"/>
    </row>
    <row r="64" spans="1:13" ht="19.95" hidden="1" customHeight="1">
      <c r="B64" s="85" t="s">
        <v>41</v>
      </c>
      <c r="C64" s="85" t="s">
        <v>13</v>
      </c>
      <c r="D64" s="85" t="s">
        <v>14</v>
      </c>
      <c r="E64" s="86" t="s">
        <v>22</v>
      </c>
      <c r="F64" s="86" t="s">
        <v>15</v>
      </c>
      <c r="G64" s="134" t="s">
        <v>16</v>
      </c>
      <c r="H64" s="87"/>
      <c r="I64" s="87"/>
      <c r="J64" s="58"/>
    </row>
    <row r="65" spans="2:10" ht="19.95" hidden="1" customHeight="1">
      <c r="B65" s="330" t="s">
        <v>23</v>
      </c>
      <c r="C65" s="329" t="s">
        <v>78</v>
      </c>
      <c r="D65" s="180" t="s">
        <v>70</v>
      </c>
      <c r="E65" s="89">
        <v>0.75</v>
      </c>
      <c r="F65" s="83">
        <v>0</v>
      </c>
      <c r="G65" s="88">
        <f>SUMIF($C4:$C32,"คุณนิมิต จุ้ยอยู่ทอง",$H4:$H32)*E65</f>
        <v>3406.5450000000001</v>
      </c>
      <c r="H65" s="90"/>
      <c r="I65" s="87"/>
      <c r="J65" s="58"/>
    </row>
    <row r="66" spans="2:10" ht="19.95" hidden="1" customHeight="1">
      <c r="B66" s="95"/>
      <c r="C66" s="329" t="s">
        <v>78</v>
      </c>
      <c r="D66" s="180" t="s">
        <v>71</v>
      </c>
      <c r="E66" s="89">
        <v>0.75</v>
      </c>
      <c r="F66" s="83">
        <v>0</v>
      </c>
      <c r="G66" s="88">
        <f>SUMIF($C5:$C33,"คุณธวัช มีแสง",$H5:$H33)*E66</f>
        <v>0</v>
      </c>
      <c r="H66" s="90"/>
      <c r="I66" s="87"/>
      <c r="J66" s="58"/>
    </row>
    <row r="67" spans="2:10" ht="19.95" hidden="1" customHeight="1">
      <c r="B67" s="95"/>
      <c r="C67" s="329" t="s">
        <v>78</v>
      </c>
      <c r="D67" s="180" t="s">
        <v>72</v>
      </c>
      <c r="E67" s="89">
        <v>0.75</v>
      </c>
      <c r="F67" s="83">
        <v>0</v>
      </c>
      <c r="G67" s="88">
        <f>SUMIF($C5:$C32,"คุณแดง มูลสองแคว",$H5:$H32)*E67</f>
        <v>3000</v>
      </c>
      <c r="H67" s="90"/>
      <c r="I67" s="87"/>
      <c r="J67" s="58"/>
    </row>
    <row r="68" spans="2:10" ht="19.95" hidden="1" customHeight="1">
      <c r="B68" s="95"/>
      <c r="C68" s="329" t="s">
        <v>17</v>
      </c>
      <c r="D68" s="181" t="s">
        <v>73</v>
      </c>
      <c r="E68" s="89">
        <v>0.75</v>
      </c>
      <c r="F68" s="83">
        <v>0</v>
      </c>
      <c r="G68" s="88">
        <f>SUMIF($C7:$C35,"คุณนิยนต์ อยู่ทะเล",$H7:$H35)*E68</f>
        <v>0</v>
      </c>
      <c r="H68" s="90"/>
      <c r="I68" s="87"/>
      <c r="J68" s="58"/>
    </row>
    <row r="69" spans="2:10" ht="19.95" hidden="1" customHeight="1">
      <c r="B69" s="95"/>
      <c r="C69" s="329" t="s">
        <v>78</v>
      </c>
      <c r="D69" s="182" t="s">
        <v>67</v>
      </c>
      <c r="E69" s="89">
        <v>0.75</v>
      </c>
      <c r="F69" s="83">
        <v>0</v>
      </c>
      <c r="G69" s="88">
        <f>SUMIF($C8:$C36,"คุณรุ่งอรุณ อินบุญรอด",$H8:$H36)*E69</f>
        <v>2625</v>
      </c>
      <c r="H69" s="90"/>
      <c r="I69" s="87"/>
      <c r="J69" s="58"/>
    </row>
    <row r="70" spans="2:10" ht="19.95" hidden="1" customHeight="1">
      <c r="B70" s="95"/>
      <c r="C70" s="329" t="s">
        <v>78</v>
      </c>
      <c r="D70" s="182" t="s">
        <v>68</v>
      </c>
      <c r="E70" s="89">
        <v>0.75</v>
      </c>
      <c r="F70" s="83">
        <v>0</v>
      </c>
      <c r="G70" s="88">
        <f>SUMIF($C9:$C37,"คุณศศินาถ จุ้ยอยู่ทอง",$H9:$H37)*E70</f>
        <v>4875</v>
      </c>
      <c r="H70" s="90"/>
      <c r="I70" s="87"/>
      <c r="J70" s="58"/>
    </row>
    <row r="71" spans="2:10" ht="19.95" hidden="1" customHeight="1">
      <c r="B71" s="95"/>
      <c r="C71" s="329" t="s">
        <v>78</v>
      </c>
      <c r="D71" s="189" t="s">
        <v>90</v>
      </c>
      <c r="E71" s="89">
        <v>0.75</v>
      </c>
      <c r="F71" s="83">
        <v>0</v>
      </c>
      <c r="G71" s="88">
        <f>SUMIF($C10:$C38,"คุณณรงศ์ศักย์ เหล่ารัตนเวช",$H10:$H38)*E71</f>
        <v>0</v>
      </c>
      <c r="H71" s="90"/>
      <c r="I71" s="87"/>
      <c r="J71" s="58"/>
    </row>
    <row r="72" spans="2:10" ht="19.95" hidden="1" customHeight="1">
      <c r="B72" s="95"/>
      <c r="C72" s="329" t="s">
        <v>17</v>
      </c>
      <c r="D72" s="197" t="s">
        <v>130</v>
      </c>
      <c r="E72" s="89">
        <v>0.75</v>
      </c>
      <c r="F72" s="83">
        <v>0</v>
      </c>
      <c r="G72" s="88">
        <f>SUMIF($C11:$C39,"คุณชนัฐฎา สนคะมี",$H11:$H39)*E72</f>
        <v>0</v>
      </c>
      <c r="H72" s="90"/>
      <c r="I72" s="87"/>
      <c r="J72" s="58"/>
    </row>
    <row r="73" spans="2:10" ht="19.95" hidden="1" customHeight="1">
      <c r="B73" s="94"/>
      <c r="C73" s="329" t="s">
        <v>78</v>
      </c>
      <c r="D73" s="180" t="s">
        <v>69</v>
      </c>
      <c r="E73" s="89">
        <v>0.75</v>
      </c>
      <c r="F73" s="83">
        <v>0</v>
      </c>
      <c r="G73" s="88">
        <f>SUMIF($C11:$C39,"คุณธัญลักษณ์ หมื่นหลุบกุง",$H11:$H39)*E73</f>
        <v>0</v>
      </c>
      <c r="H73" s="90"/>
      <c r="I73" s="87"/>
      <c r="J73" s="58"/>
    </row>
    <row r="74" spans="2:10" ht="19.95" hidden="1" customHeight="1">
      <c r="B74" s="94" t="s">
        <v>60</v>
      </c>
      <c r="C74" s="89" t="s">
        <v>78</v>
      </c>
      <c r="D74" s="180" t="s">
        <v>71</v>
      </c>
      <c r="E74" s="89">
        <v>0.05</v>
      </c>
      <c r="F74" s="83">
        <v>0</v>
      </c>
      <c r="G74" s="88">
        <f>$H$32*E74</f>
        <v>927.10300000000007</v>
      </c>
      <c r="H74" s="87"/>
      <c r="I74" s="87"/>
      <c r="J74" s="58"/>
    </row>
    <row r="75" spans="2:10" ht="19.95" hidden="1" customHeight="1">
      <c r="B75" s="91" t="s">
        <v>24</v>
      </c>
      <c r="C75" s="89" t="s">
        <v>61</v>
      </c>
      <c r="D75" s="180" t="s">
        <v>97</v>
      </c>
      <c r="E75" s="89">
        <v>0.12</v>
      </c>
      <c r="F75" s="83">
        <v>0</v>
      </c>
      <c r="G75" s="88">
        <f>$H$32*E75</f>
        <v>2225.0472</v>
      </c>
      <c r="H75" s="87"/>
      <c r="I75" s="96"/>
      <c r="J75" s="58"/>
    </row>
    <row r="76" spans="2:10" ht="19.95" hidden="1" customHeight="1">
      <c r="B76" s="91" t="s">
        <v>25</v>
      </c>
      <c r="C76" s="89" t="s">
        <v>61</v>
      </c>
      <c r="D76" s="180" t="s">
        <v>79</v>
      </c>
      <c r="E76" s="89">
        <v>0.08</v>
      </c>
      <c r="F76" s="83">
        <v>0</v>
      </c>
      <c r="G76" s="88">
        <f>$H$32*E76</f>
        <v>1483.3648000000001</v>
      </c>
      <c r="H76" s="87"/>
      <c r="I76" s="87"/>
      <c r="J76" s="58"/>
    </row>
    <row r="77" spans="2:10" ht="21" hidden="1" customHeight="1">
      <c r="B77" s="61"/>
      <c r="C77" s="61"/>
      <c r="D77" s="62"/>
      <c r="E77" s="63"/>
      <c r="F77" s="60"/>
      <c r="G77" s="209">
        <f>SUM(G65:G76)</f>
        <v>18542.060000000001</v>
      </c>
      <c r="H77" s="87"/>
      <c r="I77" s="58"/>
      <c r="J77" s="58"/>
    </row>
    <row r="78" spans="2:10" s="45" customFormat="1" ht="13.95" customHeight="1">
      <c r="E78" s="44"/>
      <c r="F78" s="44"/>
      <c r="G78" s="44"/>
      <c r="H78" s="87"/>
      <c r="I78" s="44"/>
    </row>
    <row r="79" spans="2:10" s="45" customFormat="1" ht="14.55" customHeight="1">
      <c r="E79" s="44"/>
      <c r="F79" s="44"/>
      <c r="G79" s="44"/>
      <c r="H79" s="87"/>
      <c r="I79" s="44"/>
    </row>
    <row r="80" spans="2:10" ht="13.8">
      <c r="H80" s="87"/>
    </row>
    <row r="81" spans="8:8" ht="13.95" customHeight="1">
      <c r="H81" s="87"/>
    </row>
    <row r="82" spans="8:8" ht="13.95" customHeight="1"/>
    <row r="83" spans="8:8" ht="13.95" customHeight="1"/>
    <row r="84" spans="8:8" ht="13.8"/>
    <row r="85" spans="8:8" ht="13.8"/>
    <row r="86" spans="8:8" ht="13.8"/>
    <row r="87" spans="8:8" ht="13.8"/>
    <row r="88" spans="8:8" ht="13.8"/>
    <row r="89" spans="8:8" ht="13.8"/>
    <row r="90" spans="8:8" ht="13.8"/>
    <row r="91" spans="8:8" ht="13.8"/>
    <row r="92" spans="8:8" ht="13.8"/>
    <row r="93" spans="8:8" ht="13.8"/>
    <row r="94" spans="8:8" ht="13.8"/>
    <row r="95" spans="8:8" ht="13.8"/>
    <row r="96" spans="8:8"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row r="288" ht="13.95" customHeight="1"/>
    <row r="289" ht="13.95" customHeight="1"/>
    <row r="290" ht="13.95" customHeight="1"/>
    <row r="291" ht="13.95" customHeight="1"/>
    <row r="292" ht="13.95" customHeight="1"/>
    <row r="293" ht="13.95" customHeight="1"/>
    <row r="294" ht="13.95" customHeight="1"/>
    <row r="295" ht="13.95" customHeight="1"/>
  </sheetData>
  <mergeCells count="9">
    <mergeCell ref="B35:M36"/>
    <mergeCell ref="A1:H1"/>
    <mergeCell ref="A2:H2"/>
    <mergeCell ref="B5:B13"/>
    <mergeCell ref="B14:B22"/>
    <mergeCell ref="B23:B31"/>
    <mergeCell ref="D5:D13"/>
    <mergeCell ref="D14:D22"/>
    <mergeCell ref="D23:D31"/>
  </mergeCells>
  <printOptions horizontalCentered="1"/>
  <pageMargins left="0.27559055118110198" right="0.196850393700787" top="0.43307086614173201" bottom="0.35433070866141703" header="0.43307086614173201" footer="0"/>
  <pageSetup paperSize="9" scale="50" orientation="landscape" r:id="rId1"/>
  <ignoredErrors>
    <ignoredError sqref="H8 G9:H9 H10 G13:H13 G18:H18 G14:H14 G15:H15 G16:H16 G17:H17 G22:H2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ตั้งเบิกคอมฯ  CN</vt:lpstr>
      <vt:lpstr>สรุปยอดเบิก CN</vt:lpstr>
      <vt:lpstr>คอมฯ CBN</vt:lpstr>
      <vt:lpstr>สรุปยอดเบิก CBN</vt:lpstr>
      <vt:lpstr>'คอมฯ CBN'!Print_Area</vt:lpstr>
      <vt:lpstr>'ตั้งเบิกคอมฯ  CN'!Print_Area</vt:lpstr>
      <vt:lpstr>'สรุปยอดเบิก CBN'!Print_Area</vt:lpstr>
      <vt:lpstr>'สรุปยอดเบิก CN'!Print_Area</vt:lpstr>
      <vt:lpstr>'คอมฯ CBN'!Print_Titles</vt:lpstr>
      <vt:lpstr>'ตั้งเบิกคอมฯ  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2025-06-02T03:24:46Z</cp:lastPrinted>
  <dcterms:created xsi:type="dcterms:W3CDTF">2022-04-03T17:11:16Z</dcterms:created>
  <dcterms:modified xsi:type="dcterms:W3CDTF">2025-07-07T04:26:02Z</dcterms:modified>
</cp:coreProperties>
</file>