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tables/table2.xml" ContentType="application/vnd.openxmlformats-officedocument.spreadsheetml.table+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66925"/>
  <mc:AlternateContent xmlns:mc="http://schemas.openxmlformats.org/markup-compatibility/2006">
    <mc:Choice Requires="x15">
      <x15ac:absPath xmlns:x15ac="http://schemas.microsoft.com/office/spreadsheetml/2010/11/ac" url="C:\Users\HQSALE6509NB002\Documents\WORK\02 งาน Oper Sale\05 Sale commission\03 ตั้งเบิก Sales Commission\รอบ 02-2568\"/>
    </mc:Choice>
  </mc:AlternateContent>
  <xr:revisionPtr revIDLastSave="0" documentId="13_ncr:1_{60ED9FA1-F83A-4278-B6E2-B8A7D714DB2D}" xr6:coauthVersionLast="47" xr6:coauthVersionMax="47" xr10:uidLastSave="{00000000-0000-0000-0000-000000000000}"/>
  <bookViews>
    <workbookView xWindow="-108" yWindow="-108" windowWidth="23256" windowHeight="12456" activeTab="1" xr2:uid="{195A0F0A-E35C-4AD4-8EE8-0CFEA0DC919D}"/>
  </bookViews>
  <sheets>
    <sheet name="Ref" sheetId="6" r:id="rId1"/>
    <sheet name="ตั้งเบิกคอมฯ  CN" sheetId="1" r:id="rId2"/>
    <sheet name="สรุปยอดเบิก CN" sheetId="5" r:id="rId3"/>
    <sheet name="คอมฯ CBN" sheetId="2" state="hidden" r:id="rId4"/>
    <sheet name="สรุปยอดเบิก CBN" sheetId="3" state="hidden" r:id="rId5"/>
  </sheets>
  <definedNames>
    <definedName name="_xlnm._FilterDatabase" localSheetId="3" hidden="1">'คอมฯ CBN'!#REF!</definedName>
    <definedName name="_xlnm._FilterDatabase" localSheetId="1" hidden="1">'ตั้งเบิกคอมฯ  CN'!#REF!</definedName>
    <definedName name="_xlnm.Print_Area" localSheetId="3">'คอมฯ CBN'!$A$1:$U$30</definedName>
    <definedName name="_xlnm.Print_Area" localSheetId="1">'ตั้งเบิกคอมฯ  CN'!$A$1:$AM$70</definedName>
    <definedName name="_xlnm.Print_Area" localSheetId="4">'สรุปยอดเบิก CBN'!$A$1:$M$58</definedName>
    <definedName name="_xlnm.Print_Area" localSheetId="2">'สรุปยอดเบิก CN'!$A$1:$L$63</definedName>
    <definedName name="_xlnm.Print_Titles" localSheetId="3">'คอมฯ CBN'!$5:$5</definedName>
    <definedName name="_xlnm.Print_Titles" localSheetId="1">'ตั้งเบิกคอมฯ  CN'!$6:$6</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D45" i="1" l="1"/>
  <c r="AJ45" i="1" s="1"/>
  <c r="X45" i="1"/>
  <c r="Y45" i="1" s="1"/>
  <c r="AA45" i="1" s="1"/>
  <c r="G12" i="5"/>
  <c r="G8" i="5"/>
  <c r="G5" i="5"/>
  <c r="AA46" i="1" l="1"/>
  <c r="AB45" i="1"/>
  <c r="AC45" i="1"/>
  <c r="X24" i="1"/>
  <c r="AG43" i="1" l="1"/>
  <c r="AH43" i="1" s="1"/>
  <c r="AI43" i="1" s="1"/>
  <c r="X43" i="1"/>
  <c r="M43" i="1"/>
  <c r="N43" i="1" s="1"/>
  <c r="O43" i="1" s="1"/>
  <c r="Q43" i="1" s="1"/>
  <c r="AG39" i="1"/>
  <c r="AH39" i="1" s="1"/>
  <c r="AI39" i="1" s="1"/>
  <c r="X39" i="1"/>
  <c r="Y39" i="1" s="1"/>
  <c r="AA39" i="1" s="1"/>
  <c r="M39" i="1"/>
  <c r="N39" i="1" s="1"/>
  <c r="Y43" i="1" l="1"/>
  <c r="AA43" i="1" s="1"/>
  <c r="AA44" i="1" s="1"/>
  <c r="AC43" i="1"/>
  <c r="Q39" i="1"/>
  <c r="O39" i="1"/>
  <c r="AC39" i="1"/>
  <c r="AB39" i="1"/>
  <c r="AD39" i="1" s="1"/>
  <c r="AJ39" i="1" s="1"/>
  <c r="AA40" i="1"/>
  <c r="P19" i="1"/>
  <c r="AG19" i="1"/>
  <c r="AH19" i="1" s="1"/>
  <c r="AI19" i="1" s="1"/>
  <c r="X19" i="1"/>
  <c r="Y19" i="1" s="1"/>
  <c r="AA19" i="1" s="1"/>
  <c r="M19" i="1"/>
  <c r="N19" i="1" s="1"/>
  <c r="O19" i="1" s="1"/>
  <c r="P27" i="1"/>
  <c r="P23" i="1"/>
  <c r="AG27" i="1"/>
  <c r="AH27" i="1" s="1"/>
  <c r="AI27" i="1" s="1"/>
  <c r="X27" i="1"/>
  <c r="Y27" i="1" s="1"/>
  <c r="AA27" i="1" s="1"/>
  <c r="M27" i="1"/>
  <c r="N27" i="1" s="1"/>
  <c r="O27" i="1" s="1"/>
  <c r="AG23" i="1"/>
  <c r="AH23" i="1" s="1"/>
  <c r="AI23" i="1" s="1"/>
  <c r="X23" i="1"/>
  <c r="Y23" i="1" s="1"/>
  <c r="M23" i="1"/>
  <c r="N23" i="1" s="1"/>
  <c r="O23" i="1" s="1"/>
  <c r="P15" i="1"/>
  <c r="P11" i="1"/>
  <c r="P7" i="1"/>
  <c r="AB43" i="1" l="1"/>
  <c r="AD43" i="1" s="1"/>
  <c r="AJ43" i="1" s="1"/>
  <c r="Q23" i="1"/>
  <c r="Q27" i="1"/>
  <c r="Q19" i="1"/>
  <c r="AC19" i="1"/>
  <c r="AB19" i="1"/>
  <c r="AA20" i="1"/>
  <c r="AA23" i="1"/>
  <c r="AA28" i="1"/>
  <c r="AB27" i="1"/>
  <c r="AC27" i="1"/>
  <c r="AA24" i="1" l="1"/>
  <c r="AB23" i="1"/>
  <c r="AD19" i="1"/>
  <c r="AJ19" i="1" s="1"/>
  <c r="AC23" i="1"/>
  <c r="AD27" i="1"/>
  <c r="AJ27" i="1" s="1"/>
  <c r="AD23" i="1" l="1"/>
  <c r="AJ23" i="1" s="1"/>
  <c r="AG15" i="1" l="1"/>
  <c r="AH15" i="1" s="1"/>
  <c r="AI15" i="1" s="1"/>
  <c r="X15" i="1"/>
  <c r="Y15" i="1" s="1"/>
  <c r="AA15" i="1" s="1"/>
  <c r="M15" i="1"/>
  <c r="N15" i="1" s="1"/>
  <c r="O15" i="1" s="1"/>
  <c r="Q15" i="1" s="1"/>
  <c r="Z11" i="1"/>
  <c r="AG11" i="1"/>
  <c r="AH11" i="1" s="1"/>
  <c r="AI11" i="1" s="1"/>
  <c r="X11" i="1"/>
  <c r="Y11" i="1" s="1"/>
  <c r="M11" i="1"/>
  <c r="N11" i="1" s="1"/>
  <c r="O11" i="1" s="1"/>
  <c r="Q11" i="1" s="1"/>
  <c r="AG31" i="1"/>
  <c r="AH31" i="1" s="1"/>
  <c r="AI31" i="1" s="1"/>
  <c r="X31" i="1"/>
  <c r="Y31" i="1" s="1"/>
  <c r="AA31" i="1" s="1"/>
  <c r="M31" i="1"/>
  <c r="N31" i="1" s="1"/>
  <c r="O31" i="1" s="1"/>
  <c r="Q31" i="1" s="1"/>
  <c r="AG35" i="1"/>
  <c r="AH35" i="1" s="1"/>
  <c r="AG47" i="1"/>
  <c r="AH47" i="1" s="1"/>
  <c r="AG51" i="1"/>
  <c r="AH51" i="1" s="1"/>
  <c r="AG55" i="1"/>
  <c r="AH55" i="1" s="1"/>
  <c r="AG59" i="1"/>
  <c r="AH59" i="1" s="1"/>
  <c r="AG63" i="1"/>
  <c r="AH63" i="1" s="1"/>
  <c r="AG7" i="1"/>
  <c r="AH7" i="1" s="1"/>
  <c r="AI7" i="1" s="1"/>
  <c r="X7" i="1"/>
  <c r="Y7" i="1" s="1"/>
  <c r="X35" i="1"/>
  <c r="Y35" i="1" s="1"/>
  <c r="AA35" i="1" s="1"/>
  <c r="AB35" i="1" s="1"/>
  <c r="X47" i="1"/>
  <c r="Y47" i="1" s="1"/>
  <c r="X51" i="1"/>
  <c r="Y51" i="1" s="1"/>
  <c r="X55" i="1"/>
  <c r="Y55" i="1" s="1"/>
  <c r="X59" i="1"/>
  <c r="Y59" i="1" s="1"/>
  <c r="X63" i="1"/>
  <c r="Y63" i="1" s="1"/>
  <c r="P55" i="1"/>
  <c r="M7" i="1"/>
  <c r="N7" i="1" s="1"/>
  <c r="O7" i="1" l="1"/>
  <c r="Q7" i="1" s="1"/>
  <c r="Y67" i="1"/>
  <c r="AA11" i="1"/>
  <c r="AB11" i="1" s="1"/>
  <c r="AA16" i="1"/>
  <c r="AC15" i="1"/>
  <c r="AB15" i="1"/>
  <c r="AA32" i="1"/>
  <c r="AC31" i="1"/>
  <c r="AB31" i="1"/>
  <c r="AC35" i="1"/>
  <c r="AD35" i="1" s="1"/>
  <c r="AC11" i="1" l="1"/>
  <c r="AA12" i="1"/>
  <c r="AD15" i="1"/>
  <c r="AJ15" i="1" s="1"/>
  <c r="AD31" i="1"/>
  <c r="AJ31" i="1" s="1"/>
  <c r="AD11" i="1"/>
  <c r="AJ11" i="1" s="1"/>
  <c r="S67" i="1"/>
  <c r="T67" i="1"/>
  <c r="U67" i="1"/>
  <c r="N14" i="5"/>
  <c r="M14" i="5"/>
  <c r="M5" i="5"/>
  <c r="AI35" i="1" l="1"/>
  <c r="AI47" i="1"/>
  <c r="AI51" i="1"/>
  <c r="AI55" i="1"/>
  <c r="AI59" i="1"/>
  <c r="AI63" i="1"/>
  <c r="Z67" i="1"/>
  <c r="AA7" i="1"/>
  <c r="AA47" i="1"/>
  <c r="AA51" i="1"/>
  <c r="AA55" i="1"/>
  <c r="AA59" i="1"/>
  <c r="AA63" i="1"/>
  <c r="V67" i="1"/>
  <c r="E72" i="1"/>
  <c r="M35" i="1"/>
  <c r="N35" i="1" s="1"/>
  <c r="M47" i="1"/>
  <c r="N47" i="1" s="1"/>
  <c r="O47" i="1" s="1"/>
  <c r="M51" i="1"/>
  <c r="N51" i="1" s="1"/>
  <c r="O51" i="1" s="1"/>
  <c r="M55" i="1"/>
  <c r="N55" i="1" s="1"/>
  <c r="O55" i="1" s="1"/>
  <c r="M59" i="1"/>
  <c r="N59" i="1" s="1"/>
  <c r="O59" i="1" s="1"/>
  <c r="P59" i="1"/>
  <c r="M63" i="1"/>
  <c r="N63" i="1" s="1"/>
  <c r="O63" i="1" s="1"/>
  <c r="P63" i="1"/>
  <c r="AA67" i="1" l="1"/>
  <c r="O35" i="1"/>
  <c r="Q35" i="1" s="1"/>
  <c r="AB55" i="1"/>
  <c r="AC55" i="1"/>
  <c r="AB63" i="1"/>
  <c r="AC63" i="1"/>
  <c r="AB51" i="1"/>
  <c r="AC51" i="1"/>
  <c r="AB47" i="1"/>
  <c r="AC47" i="1"/>
  <c r="AC59" i="1"/>
  <c r="AB59" i="1"/>
  <c r="AB7" i="1"/>
  <c r="AC7" i="1"/>
  <c r="R67" i="1"/>
  <c r="AI67" i="1"/>
  <c r="AH67" i="1"/>
  <c r="AA60" i="1"/>
  <c r="AA52" i="1"/>
  <c r="AA36" i="1"/>
  <c r="AA64" i="1"/>
  <c r="AA56" i="1"/>
  <c r="X67" i="1"/>
  <c r="M67" i="1"/>
  <c r="AA8" i="1"/>
  <c r="AA48" i="1"/>
  <c r="N67" i="1"/>
  <c r="O67" i="1" l="1"/>
  <c r="Q67" i="1"/>
  <c r="AJ35" i="1"/>
  <c r="AD51" i="1"/>
  <c r="AJ51" i="1" s="1"/>
  <c r="AD55" i="1"/>
  <c r="AJ55" i="1" s="1"/>
  <c r="AD63" i="1"/>
  <c r="AJ63" i="1" s="1"/>
  <c r="AD7" i="1"/>
  <c r="AD47" i="1"/>
  <c r="AJ47" i="1" s="1"/>
  <c r="AD59" i="1"/>
  <c r="AJ59" i="1" s="1"/>
  <c r="AC67" i="1"/>
  <c r="AJ7" i="1" l="1"/>
  <c r="AJ67" i="1" s="1"/>
  <c r="F19" i="5"/>
  <c r="AB67" i="1"/>
  <c r="N5" i="5" l="1"/>
  <c r="F33" i="5" l="1"/>
  <c r="F32" i="5"/>
  <c r="F30" i="5"/>
  <c r="F26" i="5"/>
  <c r="F23" i="5"/>
  <c r="F22" i="5"/>
  <c r="F20" i="5"/>
  <c r="E20" i="5"/>
  <c r="E19" i="5"/>
  <c r="E18" i="5"/>
  <c r="E17" i="5"/>
  <c r="E16" i="5"/>
  <c r="F16" i="5"/>
  <c r="E33" i="5" l="1"/>
  <c r="E32" i="5"/>
  <c r="E30" i="5"/>
  <c r="E26" i="5"/>
  <c r="H30" i="5"/>
  <c r="H32" i="5"/>
  <c r="H33" i="5"/>
  <c r="E24" i="5"/>
  <c r="E22" i="5"/>
  <c r="E21" i="5"/>
  <c r="E15" i="5"/>
  <c r="E23" i="5"/>
  <c r="H16" i="5"/>
  <c r="H20" i="5"/>
  <c r="H22" i="5"/>
  <c r="H23" i="5"/>
  <c r="G7" i="5"/>
  <c r="G9" i="5"/>
  <c r="G10" i="5"/>
  <c r="H10" i="5" s="1"/>
  <c r="G11" i="5"/>
  <c r="G13" i="5"/>
  <c r="G14" i="5"/>
  <c r="G82" i="5" l="1"/>
  <c r="E46" i="5" s="1"/>
  <c r="G46" i="5" s="1"/>
  <c r="I46" i="5" s="1"/>
  <c r="H8" i="5"/>
  <c r="H12" i="5"/>
  <c r="G84" i="5" s="1"/>
  <c r="E48" i="5" s="1"/>
  <c r="G48" i="5" s="1"/>
  <c r="I48" i="5" s="1"/>
  <c r="H14" i="5"/>
  <c r="H13" i="5"/>
  <c r="G85" i="5" s="1"/>
  <c r="E49" i="5" s="1"/>
  <c r="G49" i="5" s="1"/>
  <c r="I49" i="5" s="1"/>
  <c r="H11" i="5"/>
  <c r="H9" i="5"/>
  <c r="H7" i="5"/>
  <c r="E27" i="5"/>
  <c r="F31" i="5" l="1"/>
  <c r="H31" i="5" s="1"/>
  <c r="E31" i="5"/>
  <c r="F29" i="5"/>
  <c r="H29" i="5" s="1"/>
  <c r="E29" i="5"/>
  <c r="F28" i="5"/>
  <c r="H28" i="5" s="1"/>
  <c r="E28" i="5"/>
  <c r="F34" i="5"/>
  <c r="H34" i="5" s="1"/>
  <c r="E34" i="5"/>
  <c r="F25" i="5"/>
  <c r="E25" i="5"/>
  <c r="F21" i="5" l="1"/>
  <c r="H21" i="5" s="1"/>
  <c r="G83" i="5" s="1"/>
  <c r="E47" i="5" s="1"/>
  <c r="G47" i="5" s="1"/>
  <c r="I47" i="5" s="1"/>
  <c r="F18" i="5"/>
  <c r="H18" i="5" s="1"/>
  <c r="G80" i="5" s="1"/>
  <c r="E44" i="5" s="1"/>
  <c r="G44" i="5" s="1"/>
  <c r="I44" i="5" s="1"/>
  <c r="F17" i="5"/>
  <c r="H17" i="5" s="1"/>
  <c r="G87" i="5"/>
  <c r="G72" i="3"/>
  <c r="E45" i="3" s="1"/>
  <c r="F30" i="3"/>
  <c r="G30" i="3" s="1"/>
  <c r="E30" i="3"/>
  <c r="F22" i="3"/>
  <c r="F20" i="3"/>
  <c r="F21" i="3"/>
  <c r="G21" i="3" s="1"/>
  <c r="E21" i="3"/>
  <c r="F12" i="3"/>
  <c r="E12" i="3"/>
  <c r="F24" i="5" l="1"/>
  <c r="H24" i="5" s="1"/>
  <c r="G86" i="5" s="1"/>
  <c r="E50" i="5" s="1"/>
  <c r="G50" i="5" s="1"/>
  <c r="I50" i="5" s="1"/>
  <c r="H19" i="5"/>
  <c r="G81" i="5" s="1"/>
  <c r="E45" i="5" s="1"/>
  <c r="G45" i="5" s="1"/>
  <c r="I45" i="5" s="1"/>
  <c r="H30" i="3"/>
  <c r="H21" i="3"/>
  <c r="G12" i="3"/>
  <c r="H12" i="3" s="1"/>
  <c r="Q12" i="2"/>
  <c r="M12" i="2"/>
  <c r="N12" i="2" s="1"/>
  <c r="I12" i="2"/>
  <c r="Q9" i="2"/>
  <c r="M9" i="2"/>
  <c r="L9" i="2"/>
  <c r="N9" i="2" s="1"/>
  <c r="I9" i="2"/>
  <c r="R9" i="2" s="1"/>
  <c r="R12" i="2" l="1"/>
  <c r="I18" i="2" l="1"/>
  <c r="L18" i="2"/>
  <c r="N18" i="2" s="1"/>
  <c r="M18" i="2"/>
  <c r="Q18" i="2"/>
  <c r="I21" i="2"/>
  <c r="L21" i="2"/>
  <c r="M21" i="2"/>
  <c r="Q21" i="2"/>
  <c r="I24" i="2"/>
  <c r="L24" i="2"/>
  <c r="N24" i="2" s="1"/>
  <c r="M24" i="2"/>
  <c r="Q24" i="2"/>
  <c r="I27" i="2"/>
  <c r="L27" i="2"/>
  <c r="N27" i="2" s="1"/>
  <c r="M27" i="2"/>
  <c r="Q27" i="2"/>
  <c r="F27" i="5"/>
  <c r="H27" i="5" s="1"/>
  <c r="G79" i="5" s="1"/>
  <c r="E43" i="5" s="1"/>
  <c r="G43" i="5" s="1"/>
  <c r="I43" i="5" s="1"/>
  <c r="F31" i="3"/>
  <c r="E31" i="3"/>
  <c r="F29" i="3"/>
  <c r="E29" i="3"/>
  <c r="F26" i="3"/>
  <c r="E26" i="3"/>
  <c r="F25" i="3"/>
  <c r="E25" i="3"/>
  <c r="F17" i="3"/>
  <c r="F16" i="3"/>
  <c r="E14" i="3"/>
  <c r="R27" i="2" l="1"/>
  <c r="R24" i="2"/>
  <c r="N21" i="2"/>
  <c r="R21" i="2" s="1"/>
  <c r="R18" i="2"/>
  <c r="G25" i="3"/>
  <c r="H25" i="3" s="1"/>
  <c r="G26" i="3"/>
  <c r="H26" i="3" s="1"/>
  <c r="G29" i="3"/>
  <c r="H29" i="3" s="1"/>
  <c r="G31" i="3"/>
  <c r="H31" i="3" s="1"/>
  <c r="Q15" i="2" l="1"/>
  <c r="Q6" i="2"/>
  <c r="E23" i="3" l="1"/>
  <c r="F23" i="3"/>
  <c r="G23" i="3" s="1"/>
  <c r="H23" i="3" s="1"/>
  <c r="E27" i="3"/>
  <c r="F27" i="3"/>
  <c r="G27" i="3" s="1"/>
  <c r="H27" i="3" s="1"/>
  <c r="F24" i="3"/>
  <c r="G24" i="3" s="1"/>
  <c r="H24" i="3" s="1"/>
  <c r="E24" i="3"/>
  <c r="F28" i="3"/>
  <c r="G28" i="3" s="1"/>
  <c r="H28" i="3" s="1"/>
  <c r="E28" i="3"/>
  <c r="H30" i="2"/>
  <c r="I15" i="2"/>
  <c r="I6" i="2"/>
  <c r="E22" i="3" l="1"/>
  <c r="F13" i="3"/>
  <c r="E13" i="3"/>
  <c r="E20" i="3"/>
  <c r="F11" i="3"/>
  <c r="E11" i="3"/>
  <c r="E19" i="3"/>
  <c r="F10" i="3"/>
  <c r="E10" i="3"/>
  <c r="E18" i="3"/>
  <c r="F9" i="3"/>
  <c r="E9" i="3"/>
  <c r="E17" i="3"/>
  <c r="F8" i="3"/>
  <c r="E8" i="3"/>
  <c r="E16" i="3"/>
  <c r="F7" i="3"/>
  <c r="E7" i="3"/>
  <c r="E15" i="3"/>
  <c r="F6" i="3"/>
  <c r="E6" i="3"/>
  <c r="F5" i="3"/>
  <c r="E5" i="3"/>
  <c r="G11" i="3" l="1"/>
  <c r="H11" i="3" s="1"/>
  <c r="G6" i="5"/>
  <c r="G10" i="3" l="1"/>
  <c r="H10" i="3" s="1"/>
  <c r="J30" i="2" l="1"/>
  <c r="K30" i="2"/>
  <c r="I30" i="2"/>
  <c r="G9" i="3" l="1"/>
  <c r="H9" i="3" s="1"/>
  <c r="G88" i="5"/>
  <c r="G90" i="5" l="1"/>
  <c r="AK67" i="1"/>
  <c r="AM67" i="1"/>
  <c r="AL67" i="1"/>
  <c r="S30" i="2"/>
  <c r="T30" i="2"/>
  <c r="H6" i="5" l="1"/>
  <c r="G89" i="5" l="1"/>
  <c r="G8" i="3"/>
  <c r="H8" i="3" s="1"/>
  <c r="G13" i="3"/>
  <c r="H13" i="3" s="1"/>
  <c r="H50" i="3" l="1"/>
  <c r="M15" i="2" l="1"/>
  <c r="L15" i="2"/>
  <c r="M6" i="2"/>
  <c r="L6" i="2"/>
  <c r="N15" i="2" l="1"/>
  <c r="N6" i="2"/>
  <c r="R6" i="2"/>
  <c r="F19" i="3"/>
  <c r="F18" i="3"/>
  <c r="R15" i="2"/>
  <c r="F15" i="3"/>
  <c r="H25" i="5"/>
  <c r="L30" i="2"/>
  <c r="M30" i="2"/>
  <c r="H26" i="5"/>
  <c r="G78" i="5" s="1"/>
  <c r="E42" i="5" s="1"/>
  <c r="F14" i="3" l="1"/>
  <c r="G20" i="3"/>
  <c r="H20" i="3" s="1"/>
  <c r="G71" i="3" s="1"/>
  <c r="E44" i="3" s="1"/>
  <c r="G44" i="3" s="1"/>
  <c r="I44" i="3" s="1"/>
  <c r="J44" i="3" s="1"/>
  <c r="K44" i="3" s="1"/>
  <c r="F30" i="2"/>
  <c r="G7" i="3" l="1"/>
  <c r="H7" i="3" s="1"/>
  <c r="G6" i="3"/>
  <c r="H6" i="3" s="1"/>
  <c r="G5" i="3"/>
  <c r="E32" i="3" l="1"/>
  <c r="G18" i="3"/>
  <c r="H18" i="3" s="1"/>
  <c r="G69" i="3" l="1"/>
  <c r="E42" i="3" s="1"/>
  <c r="G42" i="3" s="1"/>
  <c r="I42" i="3" s="1"/>
  <c r="J42" i="3" s="1"/>
  <c r="K42" i="3" s="1"/>
  <c r="G19" i="3"/>
  <c r="H19" i="3" s="1"/>
  <c r="AD67" i="1"/>
  <c r="G70" i="3" l="1"/>
  <c r="E43" i="3" s="1"/>
  <c r="G43" i="3" s="1"/>
  <c r="I43" i="3" s="1"/>
  <c r="J43" i="3" s="1"/>
  <c r="K43" i="3" s="1"/>
  <c r="E35" i="5" l="1"/>
  <c r="H5" i="5" l="1"/>
  <c r="G42" i="5" l="1"/>
  <c r="I42" i="5" s="1"/>
  <c r="G22" i="3" l="1"/>
  <c r="H22" i="3" s="1"/>
  <c r="R30" i="2"/>
  <c r="G17" i="3"/>
  <c r="H17" i="3" s="1"/>
  <c r="Q30" i="2"/>
  <c r="G15" i="3"/>
  <c r="H15" i="3" s="1"/>
  <c r="G14" i="3"/>
  <c r="G66" i="3" l="1"/>
  <c r="E39" i="3" s="1"/>
  <c r="G39" i="3" s="1"/>
  <c r="I39" i="3" s="1"/>
  <c r="J39" i="3" s="1"/>
  <c r="K39" i="3" s="1"/>
  <c r="G68" i="3"/>
  <c r="G73" i="3"/>
  <c r="G16" i="3"/>
  <c r="H16" i="3" s="1"/>
  <c r="H14" i="3"/>
  <c r="F32" i="3"/>
  <c r="E46" i="3" l="1"/>
  <c r="G46" i="3" s="1"/>
  <c r="I46" i="3" s="1"/>
  <c r="J46" i="3" s="1"/>
  <c r="K46" i="3" s="1"/>
  <c r="G45" i="3"/>
  <c r="I45" i="3" s="1"/>
  <c r="G67" i="3"/>
  <c r="E40" i="3" s="1"/>
  <c r="G40" i="3" s="1"/>
  <c r="I40" i="3" s="1"/>
  <c r="J40" i="3" s="1"/>
  <c r="K40" i="3" s="1"/>
  <c r="E41" i="3"/>
  <c r="H5" i="3"/>
  <c r="G65" i="3" s="1"/>
  <c r="G32" i="3"/>
  <c r="J45" i="3" l="1"/>
  <c r="K45" i="3" s="1"/>
  <c r="E38" i="3"/>
  <c r="G38" i="3" s="1"/>
  <c r="H32" i="3"/>
  <c r="G74" i="3" l="1"/>
  <c r="E47" i="3" s="1"/>
  <c r="G75" i="3"/>
  <c r="E48" i="3" s="1"/>
  <c r="G48" i="3" s="1"/>
  <c r="I48" i="3" s="1"/>
  <c r="J48" i="3" s="1"/>
  <c r="K48" i="3" s="1"/>
  <c r="G76" i="3"/>
  <c r="E49" i="3" s="1"/>
  <c r="G49" i="3" s="1"/>
  <c r="I49" i="3" s="1"/>
  <c r="J49" i="3" s="1"/>
  <c r="K49" i="3" s="1"/>
  <c r="G35" i="5"/>
  <c r="I38" i="3"/>
  <c r="G41" i="3"/>
  <c r="I41" i="3" s="1"/>
  <c r="J41" i="3" s="1"/>
  <c r="K41" i="3" s="1"/>
  <c r="G77" i="3" l="1"/>
  <c r="J38" i="3"/>
  <c r="F35" i="5"/>
  <c r="G47" i="3"/>
  <c r="H15" i="5"/>
  <c r="G77" i="5" l="1"/>
  <c r="E41" i="5" s="1"/>
  <c r="H35" i="5"/>
  <c r="K38" i="3"/>
  <c r="I47" i="3"/>
  <c r="G50" i="3"/>
  <c r="G93" i="5" l="1"/>
  <c r="E53" i="5" s="1"/>
  <c r="G53" i="5" s="1"/>
  <c r="I53" i="5" s="1"/>
  <c r="G92" i="5"/>
  <c r="E52" i="5" s="1"/>
  <c r="G52" i="5" s="1"/>
  <c r="I52" i="5" s="1"/>
  <c r="G91" i="5"/>
  <c r="E51" i="5" s="1"/>
  <c r="G51" i="5" s="1"/>
  <c r="I51" i="5" s="1"/>
  <c r="J47" i="3"/>
  <c r="J50" i="3" s="1"/>
  <c r="I50" i="3"/>
  <c r="G41" i="5"/>
  <c r="I41" i="5" s="1"/>
  <c r="K47" i="3" l="1"/>
  <c r="G94" i="5"/>
  <c r="K50" i="3" l="1"/>
  <c r="E54" i="5"/>
  <c r="I54" i="5" l="1"/>
  <c r="G54" i="5"/>
</calcChain>
</file>

<file path=xl/sharedStrings.xml><?xml version="1.0" encoding="utf-8"?>
<sst xmlns="http://schemas.openxmlformats.org/spreadsheetml/2006/main" count="680" uniqueCount="294">
  <si>
    <t>ลำดับ</t>
  </si>
  <si>
    <t>ชื่อเจ้าของโครงการ</t>
  </si>
  <si>
    <t>รายการเบิก</t>
  </si>
  <si>
    <t>จำนวนเงิน</t>
  </si>
  <si>
    <t>ยอดคงเหลือ</t>
  </si>
  <si>
    <t>Total</t>
  </si>
  <si>
    <t>Sales</t>
  </si>
  <si>
    <t>เขตการขาย</t>
  </si>
  <si>
    <t xml:space="preserve">ตั้งเบิก บริษัท เคเบิล คอนเน็ค จำกัด </t>
  </si>
  <si>
    <t>รายละเอียดค่าคอม</t>
  </si>
  <si>
    <t>หัก CBN
30%</t>
  </si>
  <si>
    <t>ค่าคอมฯ ช่างติดตั้ง</t>
  </si>
  <si>
    <t>รวมทั้งสิ้น</t>
  </si>
  <si>
    <t>ส่วนงานขาย</t>
  </si>
  <si>
    <t>ชื่อผู้รับเงิน</t>
  </si>
  <si>
    <t>หัก ณ ที่จ่าย</t>
  </si>
  <si>
    <t xml:space="preserve">ค่าคอมฯ สุทธิ </t>
  </si>
  <si>
    <t>HP</t>
  </si>
  <si>
    <t>Freelance</t>
  </si>
  <si>
    <t>ค่าคอมฯขาย
Internet</t>
  </si>
  <si>
    <t>ค่าคอมขายอุปกรณ์</t>
  </si>
  <si>
    <t>คุณจันทราภรณ์ สุภาพวนิช</t>
  </si>
  <si>
    <t>อัตราส่วนแบ่ง</t>
  </si>
  <si>
    <t>SALES</t>
  </si>
  <si>
    <t>CENTER SALES</t>
  </si>
  <si>
    <t>Sales Coordinator</t>
  </si>
  <si>
    <t>จำนวน
โครงการ</t>
  </si>
  <si>
    <t>ค่าคอมฯ ขายงานติดตั้งระบบ
งานติดตั้งระบบให้บริการหลัก</t>
  </si>
  <si>
    <t>งานขายอุปกรณ์เพิ่มเติม</t>
  </si>
  <si>
    <t>หัก กสทช</t>
  </si>
  <si>
    <t>ยอดโอนสุทธิ</t>
  </si>
  <si>
    <t>ค่าบริการรายเดือนตาม Package</t>
  </si>
  <si>
    <t>หัก ภาษีรายได้</t>
  </si>
  <si>
    <t>ยอดเงินโอน</t>
  </si>
  <si>
    <t>เงินเข้าสุทธิ</t>
  </si>
  <si>
    <t>ชื่อผู้รับเงิน (บัญชีเงินเดือน)</t>
  </si>
  <si>
    <t>เดือนที่เริ่มเก็บ
ค่าบริการ</t>
  </si>
  <si>
    <t>รายการเบิก
คอมขาย</t>
  </si>
  <si>
    <t>เลขที่ใบกำกับ/ใบเสร็จรับเงิน</t>
  </si>
  <si>
    <t>รหัสลูกค้า</t>
  </si>
  <si>
    <t>ค่าขายอุปกรณ์</t>
  </si>
  <si>
    <t>สรุปรายการผู้รับเงิน</t>
  </si>
  <si>
    <t xml:space="preserve">เลขที่นำส่งเงิน
</t>
  </si>
  <si>
    <t>บริษัท เจริญเคเบิลทีวี เน็ตเวอร์ค จำกัด</t>
  </si>
  <si>
    <t>บริการประเภท</t>
  </si>
  <si>
    <t>Cable DTV</t>
  </si>
  <si>
    <t>Cable IPTV</t>
  </si>
  <si>
    <t>Internet Lease Line</t>
  </si>
  <si>
    <t>ประเภทบริการ</t>
  </si>
  <si>
    <t>Internet ( Fttx to Head)</t>
  </si>
  <si>
    <t>Internet ( Hotspot wifi )</t>
  </si>
  <si>
    <t>Internet FTTx Room</t>
  </si>
  <si>
    <t>Internet Lan To Room</t>
  </si>
  <si>
    <t>Internet Lease Line Event</t>
  </si>
  <si>
    <t>Internet WI FI Hospot</t>
  </si>
  <si>
    <t>ทีมงานขาย
(ชื่อทีม/คน ขายสาขา)</t>
  </si>
  <si>
    <t>Digital Steams</t>
  </si>
  <si>
    <t>หักส่วนต่างระหว่างบริษัท
(CBN-CN 3%)</t>
  </si>
  <si>
    <t>ยอดเงินโอนสุทธิ</t>
  </si>
  <si>
    <t>Event</t>
  </si>
  <si>
    <t>TEAM  SALES MG</t>
  </si>
  <si>
    <t>SC</t>
  </si>
  <si>
    <t>รายงานสรุปค่าคอมมิชชั่นจากการติดตั้งประจำปี 2567</t>
  </si>
  <si>
    <t>ฝ่ายขายกลุ่ม Ressident</t>
  </si>
  <si>
    <t>ค่าคอมขาย -Cable TV</t>
  </si>
  <si>
    <t>ค่าคอมขาย - HOTSPOT WIFI</t>
  </si>
  <si>
    <t>ตั้งเบิก บริษัท เจริญเคเบิลทีวี เน็ตเวอร์ค จำกัด</t>
  </si>
  <si>
    <t>คุณรุ่งอรุณ อินบุญรอด</t>
  </si>
  <si>
    <t>คุณศศินาถ จุ้ยอยู่ทอง</t>
  </si>
  <si>
    <t>คุณธัญลักษณ์ หมื่นหลุบกุง</t>
  </si>
  <si>
    <t>คุณนิมิต จุ้ยอยู่ทอง</t>
  </si>
  <si>
    <t>คุณธวัช มีแสง</t>
  </si>
  <si>
    <t>คุณแดง มูลสองแคว</t>
  </si>
  <si>
    <t>คุณนิยนต์ อยู่ทะเล</t>
  </si>
  <si>
    <t>คุณจินตนา อ้อยหวาน</t>
  </si>
  <si>
    <t>คุณพัชรพรรณ พึ่งพา</t>
  </si>
  <si>
    <t>ธนาคาร</t>
  </si>
  <si>
    <t>เลขที่บัญชี</t>
  </si>
  <si>
    <t>RS</t>
  </si>
  <si>
    <t>คุณดารณี อนันทวัน</t>
  </si>
  <si>
    <t>รายละเอียดการจัดสรรส่วนแบ่ง ค่าคอมฯ ส่วนงาน RS</t>
  </si>
  <si>
    <t xml:space="preserve">051-2-27264-2 </t>
  </si>
  <si>
    <t>051-2-28325-0</t>
  </si>
  <si>
    <t>051-2-32010-2</t>
  </si>
  <si>
    <t>051-2-19666-8</t>
  </si>
  <si>
    <t>150-2-58423-6</t>
  </si>
  <si>
    <t>051-2-27260-0</t>
  </si>
  <si>
    <t>210-2-29048-9</t>
  </si>
  <si>
    <t>TTB</t>
  </si>
  <si>
    <t>931-2-06799-5</t>
  </si>
  <si>
    <t>คุณณรงศ์ศักย์ เหล่ารัตนเวช</t>
  </si>
  <si>
    <t>919-7-16713-4</t>
  </si>
  <si>
    <t>บริษัท เคเบิลคอนเนค จำกัด</t>
  </si>
  <si>
    <t>รายชื่อผู้รับค่าคอมส่วนงาน RS  (ตามหลักเกณฑ์ใหม่)</t>
  </si>
  <si>
    <t>ค่าคอมฯขาย Cable TV</t>
  </si>
  <si>
    <t>รายการเบิก
คอมขายเพิ่มเติม
(เป้าตามกำหนด)
100-200%</t>
  </si>
  <si>
    <t>Internet ( Hotspot wifi ) ขายอุปกรณ์</t>
  </si>
  <si>
    <t>คุณสุชานัน พึ่งพา</t>
  </si>
  <si>
    <t>931-2-06801-9</t>
  </si>
  <si>
    <t>ค่าติดตั้ง/ค่าเชื่อมสัญญาณ</t>
  </si>
  <si>
    <t>ต้นทุนค่าติดตั้ง/ค่าเชื่อมสัญญาณ</t>
  </si>
  <si>
    <t>Total 
คอมฯค่าติดตั้ง/ค่าเชื่อมสัญญาณ</t>
  </si>
  <si>
    <t>ต้นทุนค่าขายอุปกรณ์</t>
  </si>
  <si>
    <t>คอมฯอุปกรณ์
 5%</t>
  </si>
  <si>
    <t>คอมฯ อุปกรณ์
25%</t>
  </si>
  <si>
    <t>Total
คอมฯ อุปกรณ์</t>
  </si>
  <si>
    <t>รวมค่าคอมฯ</t>
  </si>
  <si>
    <t>LB</t>
  </si>
  <si>
    <t>WING670624</t>
  </si>
  <si>
    <t>บริษัท เดอะ การ์เด้น เพลส งามวงศ์วาน จำกัด</t>
  </si>
  <si>
    <t>โครงการ เดอะการ์เด้นเพลส</t>
  </si>
  <si>
    <t>IV6710189</t>
  </si>
  <si>
    <t>NG</t>
  </si>
  <si>
    <t>NGCBN-HP241003</t>
  </si>
  <si>
    <t>ประจำเดือน พฤศจิกายน</t>
  </si>
  <si>
    <t>สรุปรายการเบิกค่าคอมมิชชั่น ประจำเดือน  พฤศจิกายน 2567</t>
  </si>
  <si>
    <t>ยกมาจากรอบ ต.ค. 67 เนื่องจาก Sales ส่งเอกสารไม่ทัน</t>
  </si>
  <si>
    <t>WILB671033</t>
  </si>
  <si>
    <t>คุณรัตนา บางเทศธรรม</t>
  </si>
  <si>
    <t>โครงการ ศักดิ์นาวิล แมนชั่น</t>
  </si>
  <si>
    <t>IV6710302</t>
  </si>
  <si>
    <t>WILB671034</t>
  </si>
  <si>
    <t>คุณศศิลดา เหรียญตระกูลชัย</t>
  </si>
  <si>
    <t>โครงการ ภีทยา แมนชั่น</t>
  </si>
  <si>
    <t>IV6710278</t>
  </si>
  <si>
    <t>WIWD670932</t>
  </si>
  <si>
    <t>โครงการ สิริวรรณ</t>
  </si>
  <si>
    <t>คุณสิริวรรณ โล้พิรุณ</t>
  </si>
  <si>
    <t>IV6711232</t>
  </si>
  <si>
    <t>WD</t>
  </si>
  <si>
    <t>คุณชนัฐฎา สนคะมี</t>
  </si>
  <si>
    <t>261-2-24637-7</t>
  </si>
  <si>
    <t>LBCBN-HP241103</t>
  </si>
  <si>
    <t>WDCBN-HP241103</t>
  </si>
  <si>
    <t>ค่าเชื่อมสัญญาณ/
ค่าติดตั้ง/
ค่าขายอุปกรณ์
(เรียกเก็บสุทธิ)</t>
  </si>
  <si>
    <t>ต้นทุน</t>
  </si>
  <si>
    <t>ส่วนต่างกำไร</t>
  </si>
  <si>
    <t>คอมฯ
 5%</t>
  </si>
  <si>
    <t>คอมฯ
10%</t>
  </si>
  <si>
    <t>ค่าเชื่อมสัญญาณ
(เรียกเก็บสุทธิ)</t>
  </si>
  <si>
    <t>ค่าบริการเฉลียรายเดือนตาม Package
(เรียกเก็บสุทธิ)</t>
  </si>
  <si>
    <r>
      <t xml:space="preserve">ค่าคอมฯ </t>
    </r>
    <r>
      <rPr>
        <b/>
        <u/>
        <sz val="11"/>
        <rFont val="Tahoma"/>
        <family val="2"/>
      </rPr>
      <t>(กรณีมีต้นทุน)</t>
    </r>
  </si>
  <si>
    <t>ค่าเชื่อมสัญญาณ/</t>
  </si>
  <si>
    <t>ค่าติดตั้ง/</t>
  </si>
  <si>
    <r>
      <t xml:space="preserve">ค่าคอมฯ </t>
    </r>
    <r>
      <rPr>
        <b/>
        <u/>
        <sz val="11"/>
        <rFont val="Tahoma"/>
        <family val="2"/>
      </rPr>
      <t>(กรณีไม่มีต้นทุน)</t>
    </r>
  </si>
  <si>
    <t>ค่าเชื่อมสัญญาณ</t>
  </si>
  <si>
    <t xml:space="preserve">ค่าคอมฯ ค่าเชื่อมสัญญาณ/
</t>
  </si>
  <si>
    <t>ค่าติดตั้งระบบ/ค่าขายอุปกรณ์</t>
  </si>
  <si>
    <t>(มีต้นทุน)</t>
  </si>
  <si>
    <t xml:space="preserve">ค่าคอมฯ ค่าเชื่อมสัญญาณ
</t>
  </si>
  <si>
    <t>(ไม่มีต้นทุน)</t>
  </si>
  <si>
    <t>คุณจิรภิญญา เป็นปึก</t>
  </si>
  <si>
    <t>คุณนรินทร์ ปิงมูล</t>
  </si>
  <si>
    <t>SE</t>
  </si>
  <si>
    <t>Cable ช่องรายการเสริม</t>
  </si>
  <si>
    <t>Cable ขายอุปกรณ์</t>
  </si>
  <si>
    <t>ฝ่ายขายกลุ่ม Hospitality &amp; Ressident</t>
  </si>
  <si>
    <t>Sales Engineer</t>
  </si>
  <si>
    <t>เรทส่วนแบ่งเปอร์เซ็นต์ค่าคอมตาม Memo (พ.1) ลงวันที่ 9/12/2567</t>
  </si>
  <si>
    <t>(Sales)</t>
  </si>
  <si>
    <t>Operation Sales</t>
  </si>
  <si>
    <t>051-2-21873-6</t>
  </si>
  <si>
    <t>138-2-93890-8</t>
  </si>
  <si>
    <t>919-7-16744-9</t>
  </si>
  <si>
    <t>234-2-86145-3</t>
  </si>
  <si>
    <t>สั่งจ่าย</t>
  </si>
  <si>
    <t>ปีที่ 1</t>
  </si>
  <si>
    <t>ปีที่ 2</t>
  </si>
  <si>
    <t>ปีที่ 3</t>
  </si>
  <si>
    <t>ปีที่ 4</t>
  </si>
  <si>
    <t>ปีที่ 5</t>
  </si>
  <si>
    <t>ระยะเวลาสัญญา
(เดือน)</t>
  </si>
  <si>
    <t>ยอดที่1</t>
  </si>
  <si>
    <t>ยอดที่2</t>
  </si>
  <si>
    <t>Recheck</t>
  </si>
  <si>
    <t>ยอดที่3</t>
  </si>
  <si>
    <t>ยอดที่4</t>
  </si>
  <si>
    <t>ยอดที่5</t>
  </si>
  <si>
    <t>จ่ายครั้งเดียว</t>
  </si>
  <si>
    <t>แบ่งจ่ายตามปีสัญญา</t>
  </si>
  <si>
    <t>ค่าคอมฯ (กรณีมีต้นทุน)</t>
  </si>
  <si>
    <t>ค่าคอมฯ (กรณีไม่มีต้นทุน)</t>
  </si>
  <si>
    <t>เดือนที่ปิดการขาย</t>
  </si>
  <si>
    <t>แบ่งจ่าย/งวด
(ตามปีสัญญา)</t>
  </si>
  <si>
    <t>ค่าบริการเฉลี่ยต่อเดือน</t>
  </si>
  <si>
    <t>หัก 3%</t>
  </si>
  <si>
    <t>มี</t>
  </si>
  <si>
    <t>ไม่มี</t>
  </si>
  <si>
    <t>มูลค่าหัก 3%</t>
  </si>
  <si>
    <t>(กรอก)</t>
  </si>
  <si>
    <t>(เลือก)</t>
  </si>
  <si>
    <t>มูลค่าหัก 3%
(ค่าติดตั้ง)</t>
  </si>
  <si>
    <t>หัก ณ ที่จ่าย
(ค่าติตั้ง)</t>
  </si>
  <si>
    <t>หัก ณ ที่จ่าย
(ค่าบริการ)</t>
  </si>
  <si>
    <t>ค่าเชื่อมสัญญาณ/
ค่าติดตั้ง/
ค่าขายอุปกรณ์</t>
  </si>
  <si>
    <t>Total
รายการเบิก
คอมขาย
(1)</t>
  </si>
  <si>
    <t>Total
ค่าเชื่มสัญญาณ/ค่าติดตั้ง/
ค่าขายอุปกรณ์
(2)</t>
  </si>
  <si>
    <t>Total 
คอมฯค่าเชื่อมสัญญาณ
(3)</t>
  </si>
  <si>
    <t>%ค่าคอม</t>
  </si>
  <si>
    <t>หัก ณ ที่จ่าย
(ค่าเชื่อมสัญญาณ)</t>
  </si>
  <si>
    <t>มูลค่าหัก 3%
(ค่าเชื่อมสัญญาณ)</t>
  </si>
  <si>
    <t>ค่าบริการต่อเดือน</t>
  </si>
  <si>
    <t>ค่าเชื่อม/ติดตั้งต่อเดือน</t>
  </si>
  <si>
    <t>Recheck ยอด 10/2567</t>
  </si>
  <si>
    <t>Cable HLS to UDP</t>
  </si>
  <si>
    <t>Cable HLS to RF</t>
  </si>
  <si>
    <t>% ค่าคอมค่าบริการ
(อัตราก้าวหน้า)</t>
  </si>
  <si>
    <t>รายงานสรุปค่าคอมมิชชั่นจากการติดตั้งประจำปี 2568</t>
  </si>
  <si>
    <t>LK</t>
  </si>
  <si>
    <t>Column1</t>
  </si>
  <si>
    <t>ปีที่2</t>
  </si>
  <si>
    <t>ปีที่3</t>
  </si>
  <si>
    <t>ปีที่4</t>
  </si>
  <si>
    <t>ปีที่5</t>
  </si>
  <si>
    <t>เงื่อนไขเดิม</t>
  </si>
  <si>
    <t>OS</t>
  </si>
  <si>
    <t>(HP)</t>
  </si>
  <si>
    <t>(RS)</t>
  </si>
  <si>
    <t>ประจำเดือน กุมภาพันธ์</t>
  </si>
  <si>
    <t xml:space="preserve">บริษัท หาญธีร์ ยูนิตี้ กรุ๊ป จำกัด </t>
  </si>
  <si>
    <t>โครงการ Le Siam Hotel Silom Bangkok</t>
  </si>
  <si>
    <t>ต้นทุนช่องรายการ
(ถ้ามี)</t>
  </si>
  <si>
    <t>การจ่ายค่าบริการ</t>
  </si>
  <si>
    <t>YRIVL-2501-0032</t>
  </si>
  <si>
    <t>YR</t>
  </si>
  <si>
    <t>(กรณีมีต้นทุน)</t>
  </si>
  <si>
    <t>(กรณีไม่มีต้นทุน)</t>
  </si>
  <si>
    <t>ค่าเชื่อมสัญญาณ/ติดตั้ง/ขายอุปกรณ์</t>
  </si>
  <si>
    <t>อาคารเพชรไทย</t>
  </si>
  <si>
    <t>โครงการ Le Ram</t>
  </si>
  <si>
    <t>คุณอภิชา ธนาสุภัคสินธร</t>
  </si>
  <si>
    <t>RMIVL-2501-0035</t>
  </si>
  <si>
    <t>RM</t>
  </si>
  <si>
    <t>คุณศิริพล</t>
  </si>
  <si>
    <t>-</t>
  </si>
  <si>
    <t>บริษัท อพอลโล่ บูติค จำกัด</t>
  </si>
  <si>
    <t>โครงการ Voque Hotel Sukhumvit51</t>
  </si>
  <si>
    <t>LBIVL-2502-0265</t>
  </si>
  <si>
    <t>บริษัท บานไม่รู้โรย สุวรรณภูมิ จำกัด</t>
  </si>
  <si>
    <t>LBIVL-2501-0560</t>
  </si>
  <si>
    <t>รอทำจ่ายรอบ 1/2026</t>
  </si>
  <si>
    <t>YRSP-2502-0019</t>
  </si>
  <si>
    <t>ส่งเบิกพร้อมเอกสารตัวจริง</t>
  </si>
  <si>
    <t>LBSP-2502-0169</t>
  </si>
  <si>
    <t>LKIVL-2410-0021</t>
  </si>
  <si>
    <t>LKSP-2502-0083</t>
  </si>
  <si>
    <t>LBIVL-2501-0561</t>
  </si>
  <si>
    <t>LBSP-2503-0001</t>
  </si>
  <si>
    <t>บริษัท วัน แบงค็อก จำกัด</t>
  </si>
  <si>
    <t>รอทำจ่ายรอบ 2/2026</t>
  </si>
  <si>
    <t>YRIVL-2502-0001</t>
  </si>
  <si>
    <t>YRIVL-2502-0002</t>
  </si>
  <si>
    <t>บริษัท สมุย พาราไดซ์ รีสอร์ท จำกัด</t>
  </si>
  <si>
    <t>โครงการ Paradise Beach Resort</t>
  </si>
  <si>
    <t>โครงการ Amaranth Suvarnabhumi Hotel</t>
  </si>
  <si>
    <t>โครงการ The Ritz-Carlton Hotel @ One Bangkok</t>
  </si>
  <si>
    <t>KSMIVL-2502-0004</t>
  </si>
  <si>
    <t>KSMIVL-2502-0005</t>
  </si>
  <si>
    <t>KSMIVL-2502-0006</t>
  </si>
  <si>
    <t>KSM</t>
  </si>
  <si>
    <t>KSMSP-2502-0003</t>
  </si>
  <si>
    <t>บริษัท ปิยะสมบัติแมนชั่น จำกัด</t>
  </si>
  <si>
    <t>โครงการ Novotel Sukhumvit 20</t>
  </si>
  <si>
    <t>LKIVL-2502-0096</t>
  </si>
  <si>
    <t>YRSP-2502-0020</t>
  </si>
  <si>
    <t>LKSP-2502-0078</t>
  </si>
  <si>
    <t>PRSP-2502-0035</t>
  </si>
  <si>
    <t>PR</t>
  </si>
  <si>
    <t>บริษัท สมมิตรอพาร์ตเม้นต์ จำกัด</t>
  </si>
  <si>
    <t>โครงการ สมมิตร อพาร์ตเม้นต์</t>
  </si>
  <si>
    <t>ค่าบริการรายปี (กพ.-พ.ย.68 ฟรี ธ.ค.68-ม.ค</t>
  </si>
  <si>
    <t>PRIVL-2502-0042</t>
  </si>
  <si>
    <t>RMSP-2502-0065</t>
  </si>
  <si>
    <t>LBSP-2502-0170</t>
  </si>
  <si>
    <t>บริษัท แทส แอสเซท กรุ๊ป จำกัด</t>
  </si>
  <si>
    <t>โครงการ เทสโทเรีย คอลเลคชัน สุขุมวิท</t>
  </si>
  <si>
    <t>LKSP-2502-0079</t>
  </si>
  <si>
    <t>LKIVL-2409-0142</t>
  </si>
  <si>
    <t>NWSP-2502-0001</t>
  </si>
  <si>
    <t>NWIVL-2502-0001</t>
  </si>
  <si>
    <t>NW</t>
  </si>
  <si>
    <t>บริษัท อมรปิ่นทิพย์ จำกัด</t>
  </si>
  <si>
    <t>โรงแรมแกรนด์ ริชม่อนด์</t>
  </si>
  <si>
    <t>จำนวน 18,000 (เฉลี่ย 1,500/เดือน) หัก 3% = 540 (เฉลี่ย 45/เดือน)</t>
  </si>
  <si>
    <t>รอทำจ่ายรอบ 1/2027</t>
  </si>
  <si>
    <t>ปีที่1
(ทำจ่ายรอบ 3/2025)</t>
  </si>
  <si>
    <t>ค่าบริการดึงจาก collum นี้</t>
  </si>
  <si>
    <t>รายชื่อผู้รับค่าคอมส่วนงาน HP+RS (ตามหลักเกณฑ์ใหม่)</t>
  </si>
  <si>
    <t xml:space="preserve">                                                                                             </t>
  </si>
  <si>
    <t>เนื่องจากเป็นการขายเพิ่มเติมหลังจากมีการติดตั้งเรียบร้อยแล้ว</t>
  </si>
  <si>
    <t>หมายเหตุ ค่าอุปกรณ์ 20,500 แยกต้นทุนออกจาก ROI</t>
  </si>
  <si>
    <t>รอทำจ่ายรอบ 1/2028</t>
  </si>
  <si>
    <t>รอทำจ่ายรอบ 1/2029</t>
  </si>
  <si>
    <t>สรุปรายการเบิกค่าคอมมิชชั่น ประจำเดือน กุมภาพันธ์ 2568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</si>
</sst>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1" formatCode="_(* #,##0_);_(* \(#,##0\);_(* &quot;-&quot;_);_(@_)"/>
    <numFmt numFmtId="44" formatCode="_(&quot;$&quot;* #,##0.00_);_(&quot;$&quot;* \(#,##0.00\);_(&quot;$&quot;* &quot;-&quot;??_);_(@_)"/>
    <numFmt numFmtId="43" formatCode="_(* #,##0.00_);_(* \(#,##0.00\);_(* &quot;-&quot;??_);_(@_)"/>
    <numFmt numFmtId="164" formatCode="_-* #,##0.00_-;\-* #,##0.00_-;_-* &quot;-&quot;??_-;_-@_-"/>
  </numFmts>
  <fonts count="96">
    <font>
      <sz val="10"/>
      <name val="Arial"/>
    </font>
    <font>
      <b/>
      <sz val="15"/>
      <color theme="3"/>
      <name val="Angsana New"/>
      <family val="2"/>
      <charset val="222"/>
    </font>
    <font>
      <b/>
      <sz val="14"/>
      <color indexed="63"/>
      <name val="Arial"/>
      <family val="2"/>
    </font>
    <font>
      <sz val="10"/>
      <name val="Arial"/>
      <family val="2"/>
    </font>
    <font>
      <sz val="12"/>
      <name val="Arial"/>
      <family val="2"/>
    </font>
    <font>
      <b/>
      <sz val="11"/>
      <color theme="3"/>
      <name val="Angsana New"/>
      <family val="2"/>
      <charset val="222"/>
    </font>
    <font>
      <b/>
      <sz val="14"/>
      <name val="Arial"/>
      <family val="2"/>
    </font>
    <font>
      <b/>
      <sz val="13"/>
      <name val="Arial"/>
      <family val="2"/>
    </font>
    <font>
      <b/>
      <sz val="12"/>
      <name val="Arial"/>
      <family val="2"/>
    </font>
    <font>
      <sz val="11"/>
      <color theme="1"/>
      <name val="Angsana New"/>
      <family val="2"/>
      <charset val="222"/>
    </font>
    <font>
      <sz val="12"/>
      <color indexed="8"/>
      <name val="Arial"/>
      <family val="2"/>
    </font>
    <font>
      <sz val="11"/>
      <color indexed="8"/>
      <name val="Arial"/>
      <family val="2"/>
    </font>
    <font>
      <b/>
      <sz val="11"/>
      <color theme="1"/>
      <name val="Angsana New"/>
      <family val="2"/>
      <charset val="222"/>
    </font>
    <font>
      <sz val="11"/>
      <name val="Arial"/>
      <family val="2"/>
    </font>
    <font>
      <sz val="10"/>
      <name val="Arial"/>
      <family val="2"/>
    </font>
    <font>
      <b/>
      <sz val="12"/>
      <color indexed="63"/>
      <name val="Arial"/>
      <family val="2"/>
    </font>
    <font>
      <b/>
      <sz val="11"/>
      <color indexed="8"/>
      <name val="Arial"/>
      <family val="2"/>
    </font>
    <font>
      <sz val="12"/>
      <color indexed="17"/>
      <name val="Arial"/>
      <family val="2"/>
    </font>
    <font>
      <sz val="11"/>
      <color rgb="FF006100"/>
      <name val="Angsana New"/>
      <family val="2"/>
      <charset val="222"/>
    </font>
    <font>
      <sz val="12"/>
      <color theme="1"/>
      <name val="Arial"/>
      <family val="2"/>
    </font>
    <font>
      <sz val="8"/>
      <name val="Arial"/>
      <family val="2"/>
    </font>
    <font>
      <b/>
      <sz val="18"/>
      <color theme="3"/>
      <name val="Cordia New"/>
      <family val="2"/>
      <charset val="222"/>
    </font>
    <font>
      <b/>
      <sz val="11"/>
      <name val="Arial"/>
      <family val="2"/>
    </font>
    <font>
      <sz val="11"/>
      <color rgb="FF000000"/>
      <name val="Arial"/>
      <family val="2"/>
    </font>
    <font>
      <b/>
      <sz val="11"/>
      <color indexed="56"/>
      <name val="Arial"/>
      <family val="2"/>
    </font>
    <font>
      <sz val="9"/>
      <color rgb="FFFF0000"/>
      <name val="Arial"/>
      <family val="2"/>
    </font>
    <font>
      <b/>
      <sz val="9"/>
      <color rgb="FFFF0000"/>
      <name val="Arial"/>
      <family val="2"/>
    </font>
    <font>
      <sz val="11"/>
      <name val="Arial Black"/>
      <family val="2"/>
    </font>
    <font>
      <b/>
      <sz val="11"/>
      <name val="Tahoma"/>
      <family val="2"/>
    </font>
    <font>
      <b/>
      <sz val="11"/>
      <color indexed="8"/>
      <name val="Tahoma"/>
      <family val="2"/>
    </font>
    <font>
      <sz val="11"/>
      <name val="Tahoma"/>
      <family val="2"/>
    </font>
    <font>
      <sz val="11"/>
      <color indexed="8"/>
      <name val="Tahoma"/>
      <family val="2"/>
    </font>
    <font>
      <sz val="11"/>
      <color rgb="FF000000"/>
      <name val="Tahoma"/>
      <family val="2"/>
    </font>
    <font>
      <b/>
      <sz val="11"/>
      <name val="Arial Black"/>
      <family val="2"/>
      <charset val="222"/>
    </font>
    <font>
      <b/>
      <sz val="11"/>
      <name val="Tahoma"/>
      <family val="2"/>
      <charset val="222"/>
    </font>
    <font>
      <b/>
      <sz val="11"/>
      <color indexed="8"/>
      <name val="Tahoma"/>
      <family val="2"/>
      <charset val="222"/>
    </font>
    <font>
      <sz val="12"/>
      <color rgb="FFFF0000"/>
      <name val="Arial"/>
      <family val="2"/>
    </font>
    <font>
      <b/>
      <sz val="12"/>
      <name val="Tahoma"/>
      <family val="2"/>
    </font>
    <font>
      <b/>
      <sz val="11"/>
      <color rgb="FF000000"/>
      <name val="Arial"/>
      <family val="2"/>
    </font>
    <font>
      <b/>
      <sz val="12"/>
      <color rgb="FF000000"/>
      <name val="Calibri"/>
      <family val="2"/>
    </font>
    <font>
      <sz val="12"/>
      <color indexed="9"/>
      <name val="Arial"/>
      <family val="2"/>
    </font>
    <font>
      <sz val="12"/>
      <name val="Angsana New"/>
      <family val="2"/>
    </font>
    <font>
      <b/>
      <sz val="10"/>
      <color rgb="FFFFFFFF"/>
      <name val="Arial"/>
      <family val="2"/>
    </font>
    <font>
      <sz val="10"/>
      <color theme="1"/>
      <name val="Calibri"/>
      <family val="2"/>
      <scheme val="minor"/>
    </font>
    <font>
      <b/>
      <sz val="11"/>
      <color rgb="FFFF0000"/>
      <name val="Arial"/>
      <family val="2"/>
    </font>
    <font>
      <sz val="14"/>
      <name val="Arial"/>
      <family val="2"/>
    </font>
    <font>
      <sz val="14"/>
      <color indexed="8"/>
      <name val="Arial"/>
      <family val="2"/>
    </font>
    <font>
      <sz val="14"/>
      <color theme="1"/>
      <name val="Arial"/>
      <family val="2"/>
    </font>
    <font>
      <b/>
      <sz val="12"/>
      <name val="Arial Black"/>
      <family val="2"/>
    </font>
    <font>
      <b/>
      <sz val="12"/>
      <color indexed="40"/>
      <name val="Tahoma"/>
      <family val="2"/>
    </font>
    <font>
      <sz val="14"/>
      <color theme="0"/>
      <name val="Arial"/>
      <family val="2"/>
    </font>
    <font>
      <b/>
      <sz val="12"/>
      <color indexed="10"/>
      <name val="Arial"/>
      <family val="2"/>
    </font>
    <font>
      <b/>
      <sz val="11"/>
      <color theme="1"/>
      <name val="Arial"/>
      <family val="2"/>
    </font>
    <font>
      <b/>
      <sz val="14"/>
      <color rgb="FF000000"/>
      <name val="Calibri"/>
      <family val="2"/>
    </font>
    <font>
      <b/>
      <sz val="14"/>
      <color indexed="8"/>
      <name val="Arial"/>
      <family val="2"/>
    </font>
    <font>
      <b/>
      <u/>
      <sz val="11"/>
      <name val="Tahoma"/>
      <family val="2"/>
    </font>
    <font>
      <b/>
      <sz val="11"/>
      <color theme="0"/>
      <name val="Arial"/>
      <family val="2"/>
    </font>
    <font>
      <sz val="11"/>
      <color theme="1"/>
      <name val="Arial"/>
      <family val="2"/>
    </font>
    <font>
      <sz val="9"/>
      <color theme="1"/>
      <name val="Arial"/>
      <family val="2"/>
    </font>
    <font>
      <b/>
      <sz val="18"/>
      <name val="Arial"/>
      <family val="2"/>
    </font>
    <font>
      <b/>
      <sz val="10"/>
      <color theme="0"/>
      <name val="Arial"/>
      <family val="2"/>
    </font>
    <font>
      <b/>
      <sz val="14"/>
      <color theme="2" tint="-0.499984740745262"/>
      <name val="Arial"/>
      <family val="2"/>
    </font>
    <font>
      <sz val="14"/>
      <color theme="2" tint="-0.499984740745262"/>
      <name val="Arial"/>
      <family val="2"/>
    </font>
    <font>
      <b/>
      <sz val="14"/>
      <color theme="1"/>
      <name val="Arial"/>
      <family val="2"/>
    </font>
    <font>
      <b/>
      <sz val="14"/>
      <color indexed="63"/>
      <name val="Tahoma"/>
      <family val="2"/>
    </font>
    <font>
      <b/>
      <sz val="14"/>
      <color theme="2" tint="-0.499984740745262"/>
      <name val="Tahoma"/>
      <family val="2"/>
    </font>
    <font>
      <sz val="14"/>
      <name val="Tahoma"/>
      <family val="2"/>
    </font>
    <font>
      <b/>
      <sz val="14"/>
      <name val="Tahoma"/>
      <family val="2"/>
    </font>
    <font>
      <b/>
      <sz val="14"/>
      <color theme="0"/>
      <name val="Tahoma"/>
      <family val="2"/>
    </font>
    <font>
      <b/>
      <sz val="14"/>
      <color theme="1"/>
      <name val="Tahoma"/>
      <family val="2"/>
    </font>
    <font>
      <sz val="14"/>
      <color theme="1"/>
      <name val="Tahoma"/>
      <family val="2"/>
    </font>
    <font>
      <sz val="14"/>
      <color indexed="8"/>
      <name val="Tahoma"/>
      <family val="2"/>
    </font>
    <font>
      <b/>
      <sz val="14"/>
      <color indexed="8"/>
      <name val="Tahoma"/>
      <family val="2"/>
    </font>
    <font>
      <b/>
      <sz val="14"/>
      <color rgb="FF000000"/>
      <name val="Tahoma"/>
      <family val="2"/>
    </font>
    <font>
      <sz val="14"/>
      <color theme="2" tint="-0.499984740745262"/>
      <name val="Tahoma"/>
      <family val="2"/>
    </font>
    <font>
      <sz val="14"/>
      <color indexed="9"/>
      <name val="Tahoma"/>
      <family val="2"/>
    </font>
    <font>
      <sz val="14"/>
      <color rgb="FF0000FF"/>
      <name val="Tahoma"/>
      <family val="2"/>
    </font>
    <font>
      <b/>
      <sz val="14"/>
      <color indexed="10"/>
      <name val="Tahoma"/>
      <family val="2"/>
    </font>
    <font>
      <b/>
      <sz val="16"/>
      <name val="Tahoma"/>
      <family val="2"/>
    </font>
    <font>
      <b/>
      <sz val="16"/>
      <color theme="0"/>
      <name val="Tahoma"/>
      <family val="2"/>
    </font>
    <font>
      <u/>
      <sz val="14"/>
      <color theme="0"/>
      <name val="Tahoma"/>
      <family val="2"/>
    </font>
    <font>
      <sz val="14"/>
      <color theme="0"/>
      <name val="Tahoma"/>
      <family val="2"/>
    </font>
    <font>
      <b/>
      <u val="singleAccounting"/>
      <sz val="18"/>
      <name val="Arial"/>
      <family val="2"/>
    </font>
    <font>
      <sz val="14"/>
      <color rgb="FFC00000"/>
      <name val="Tahoma"/>
      <family val="2"/>
    </font>
    <font>
      <sz val="12"/>
      <color rgb="FF0000FF"/>
      <name val="Tahoma"/>
      <family val="2"/>
    </font>
    <font>
      <sz val="14"/>
      <color theme="0" tint="-0.499984740745262"/>
      <name val="Tahoma"/>
      <family val="2"/>
    </font>
    <font>
      <b/>
      <sz val="9"/>
      <name val="Arial"/>
      <family val="2"/>
    </font>
    <font>
      <sz val="10"/>
      <name val="Tahoma"/>
      <family val="2"/>
    </font>
    <font>
      <b/>
      <sz val="10"/>
      <name val="Tahoma"/>
      <family val="2"/>
    </font>
    <font>
      <b/>
      <sz val="20"/>
      <color theme="0"/>
      <name val="Tahoma"/>
      <family val="2"/>
    </font>
    <font>
      <b/>
      <sz val="18"/>
      <color theme="0"/>
      <name val="Tahoma"/>
      <family val="2"/>
    </font>
    <font>
      <sz val="14"/>
      <color rgb="FFFF0000"/>
      <name val="Tahoma"/>
      <family val="2"/>
    </font>
    <font>
      <sz val="14"/>
      <color rgb="FFA4C7FA"/>
      <name val="Tahoma"/>
      <family val="2"/>
    </font>
    <font>
      <sz val="14"/>
      <color rgb="FFCCECFF"/>
      <name val="Tahoma"/>
      <family val="2"/>
    </font>
    <font>
      <u val="doubleAccounting"/>
      <sz val="14"/>
      <color indexed="8"/>
      <name val="Arial"/>
      <family val="2"/>
    </font>
    <font>
      <sz val="13"/>
      <name val="Tahoma"/>
      <family val="2"/>
    </font>
  </fonts>
  <fills count="43">
    <fill>
      <patternFill patternType="none"/>
    </fill>
    <fill>
      <patternFill patternType="gray125"/>
    </fill>
    <fill>
      <patternFill patternType="solid">
        <fgColor rgb="FFC6EFCE"/>
      </patternFill>
    </fill>
    <fill>
      <patternFill patternType="solid">
        <fgColor theme="6" tint="0.59999389629810485"/>
        <bgColor indexed="65"/>
      </patternFill>
    </fill>
    <fill>
      <patternFill patternType="solid">
        <fgColor theme="8" tint="0.59999389629810485"/>
        <bgColor indexed="65"/>
      </patternFill>
    </fill>
    <fill>
      <patternFill patternType="solid">
        <fgColor indexed="9"/>
        <bgColor indexed="64"/>
      </patternFill>
    </fill>
    <fill>
      <patternFill patternType="solid">
        <fgColor indexed="22"/>
        <bgColor indexed="64"/>
      </patternFill>
    </fill>
    <fill>
      <patternFill patternType="solid">
        <fgColor rgb="FFFFC000"/>
        <bgColor indexed="64"/>
      </patternFill>
    </fill>
    <fill>
      <patternFill patternType="solid">
        <fgColor theme="0" tint="-4.9989318521683403E-2"/>
        <bgColor indexed="64"/>
      </patternFill>
    </fill>
    <fill>
      <patternFill patternType="solid">
        <fgColor indexed="22"/>
        <bgColor indexed="22"/>
      </patternFill>
    </fill>
    <fill>
      <patternFill patternType="solid">
        <fgColor rgb="FFFFFF00"/>
        <bgColor indexed="64"/>
      </patternFill>
    </fill>
    <fill>
      <patternFill patternType="solid">
        <fgColor theme="0"/>
        <bgColor indexed="64"/>
      </patternFill>
    </fill>
    <fill>
      <patternFill patternType="solid">
        <fgColor theme="7" tint="0.59999389629810485"/>
        <bgColor indexed="64"/>
      </patternFill>
    </fill>
    <fill>
      <patternFill patternType="solid">
        <fgColor theme="8" tint="-0.249977111117893"/>
        <bgColor indexed="64"/>
      </patternFill>
    </fill>
    <fill>
      <patternFill patternType="solid">
        <fgColor rgb="FFBDD6EE"/>
        <bgColor rgb="FFBDD6EE"/>
      </patternFill>
    </fill>
    <fill>
      <patternFill patternType="solid">
        <fgColor rgb="FFFFC000"/>
        <bgColor rgb="FFBDD6EE"/>
      </patternFill>
    </fill>
    <fill>
      <patternFill patternType="solid">
        <fgColor rgb="FF000090"/>
        <bgColor rgb="FF000090"/>
      </patternFill>
    </fill>
    <fill>
      <patternFill patternType="solid">
        <fgColor rgb="FFFFC000"/>
        <bgColor rgb="FFFFC000"/>
      </patternFill>
    </fill>
    <fill>
      <patternFill patternType="solid">
        <fgColor theme="5" tint="0.79998168889431442"/>
        <bgColor indexed="64"/>
      </patternFill>
    </fill>
    <fill>
      <patternFill patternType="solid">
        <fgColor theme="0" tint="-0.249977111117893"/>
        <bgColor indexed="64"/>
      </patternFill>
    </fill>
    <fill>
      <patternFill patternType="solid">
        <fgColor theme="5" tint="0.59999389629810485"/>
        <bgColor indexed="64"/>
      </patternFill>
    </fill>
    <fill>
      <patternFill patternType="solid">
        <fgColor theme="8" tint="0.59999389629810485"/>
        <bgColor rgb="FFBDD6EE"/>
      </patternFill>
    </fill>
    <fill>
      <patternFill patternType="solid">
        <fgColor theme="6" tint="0.79998168889431442"/>
        <bgColor indexed="64"/>
      </patternFill>
    </fill>
    <fill>
      <patternFill patternType="solid">
        <fgColor theme="4" tint="0.79998168889431442"/>
        <bgColor indexed="64"/>
      </patternFill>
    </fill>
    <fill>
      <patternFill patternType="solid">
        <fgColor rgb="FFF9FFDD"/>
        <bgColor indexed="64"/>
      </patternFill>
    </fill>
    <fill>
      <patternFill patternType="solid">
        <fgColor theme="7" tint="0.79998168889431442"/>
        <bgColor indexed="64"/>
      </patternFill>
    </fill>
    <fill>
      <patternFill patternType="solid">
        <fgColor rgb="FFDACCFC"/>
        <bgColor indexed="22"/>
      </patternFill>
    </fill>
    <fill>
      <patternFill patternType="solid">
        <fgColor rgb="FFDACCFC"/>
        <bgColor indexed="64"/>
      </patternFill>
    </fill>
    <fill>
      <patternFill patternType="solid">
        <fgColor rgb="FF7030A0"/>
        <bgColor indexed="64"/>
      </patternFill>
    </fill>
    <fill>
      <patternFill patternType="solid">
        <fgColor theme="2" tint="-9.9978637043366805E-2"/>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theme="2" tint="-0.249977111117893"/>
        <bgColor indexed="64"/>
      </patternFill>
    </fill>
    <fill>
      <patternFill patternType="solid">
        <fgColor rgb="FF000099"/>
        <bgColor indexed="64"/>
      </patternFill>
    </fill>
    <fill>
      <patternFill patternType="solid">
        <fgColor theme="1" tint="0.249977111117893"/>
        <bgColor indexed="64"/>
      </patternFill>
    </fill>
    <fill>
      <patternFill patternType="solid">
        <fgColor theme="0" tint="-0.499984740745262"/>
        <bgColor indexed="64"/>
      </patternFill>
    </fill>
    <fill>
      <patternFill patternType="solid">
        <fgColor theme="2"/>
        <bgColor indexed="64"/>
      </patternFill>
    </fill>
    <fill>
      <patternFill patternType="solid">
        <fgColor theme="2"/>
      </patternFill>
    </fill>
    <fill>
      <patternFill patternType="solid">
        <fgColor rgb="FFC5D3FF"/>
        <bgColor rgb="FFBDD6EE"/>
      </patternFill>
    </fill>
    <fill>
      <patternFill patternType="solid">
        <fgColor theme="2"/>
        <bgColor rgb="FFBDD6EE"/>
      </patternFill>
    </fill>
    <fill>
      <patternFill patternType="solid">
        <fgColor rgb="FFC5D3FF"/>
        <bgColor indexed="64"/>
      </patternFill>
    </fill>
    <fill>
      <patternFill patternType="solid">
        <fgColor theme="4"/>
        <bgColor indexed="64"/>
      </patternFill>
    </fill>
  </fills>
  <borders count="133">
    <border>
      <left/>
      <right/>
      <top/>
      <bottom/>
      <diagonal/>
    </border>
    <border>
      <left/>
      <right/>
      <top/>
      <bottom style="thick">
        <color theme="4"/>
      </bottom>
      <diagonal/>
    </border>
    <border>
      <left/>
      <right/>
      <top style="thin">
        <color theme="4"/>
      </top>
      <bottom style="double">
        <color theme="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medium">
        <color indexed="53"/>
      </top>
      <bottom/>
      <diagonal/>
    </border>
    <border>
      <left style="thin">
        <color indexed="64"/>
      </left>
      <right style="thin">
        <color indexed="64"/>
      </right>
      <top style="medium">
        <color indexed="53"/>
      </top>
      <bottom style="hair">
        <color indexed="53"/>
      </bottom>
      <diagonal/>
    </border>
    <border>
      <left style="thin">
        <color indexed="64"/>
      </left>
      <right style="thin">
        <color indexed="64"/>
      </right>
      <top style="hair">
        <color indexed="64"/>
      </top>
      <bottom style="hair">
        <color indexed="64"/>
      </bottom>
      <diagonal/>
    </border>
    <border>
      <left/>
      <right style="thin">
        <color indexed="64"/>
      </right>
      <top style="hair">
        <color indexed="53"/>
      </top>
      <bottom style="hair">
        <color indexed="53"/>
      </bottom>
      <diagonal/>
    </border>
    <border>
      <left style="thin">
        <color indexed="64"/>
      </left>
      <right style="thin">
        <color indexed="64"/>
      </right>
      <top style="hair">
        <color indexed="53"/>
      </top>
      <bottom style="hair">
        <color indexed="53"/>
      </bottom>
      <diagonal/>
    </border>
    <border>
      <left/>
      <right style="thin">
        <color indexed="64"/>
      </right>
      <top style="medium">
        <color indexed="53"/>
      </top>
      <bottom style="hair">
        <color indexed="53"/>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tted">
        <color indexed="53"/>
      </top>
      <bottom style="dotted">
        <color indexed="53"/>
      </bottom>
      <diagonal/>
    </border>
    <border>
      <left style="thin">
        <color indexed="64"/>
      </left>
      <right style="thin">
        <color indexed="64"/>
      </right>
      <top style="hair">
        <color indexed="53"/>
      </top>
      <bottom/>
      <diagonal/>
    </border>
    <border>
      <left/>
      <right style="thin">
        <color indexed="64"/>
      </right>
      <top style="medium">
        <color indexed="53"/>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auto="1"/>
      </left>
      <right style="thin">
        <color auto="1"/>
      </right>
      <top style="thin">
        <color auto="1"/>
      </top>
      <bottom style="thin">
        <color auto="1"/>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hair">
        <color indexed="53"/>
      </top>
      <bottom style="hair">
        <color indexed="53"/>
      </bottom>
      <diagonal/>
    </border>
    <border>
      <left style="medium">
        <color indexed="64"/>
      </left>
      <right style="thin">
        <color indexed="64"/>
      </right>
      <top/>
      <bottom/>
      <diagonal/>
    </border>
    <border>
      <left style="medium">
        <color indexed="64"/>
      </left>
      <right style="thin">
        <color indexed="64"/>
      </right>
      <top style="medium">
        <color indexed="53"/>
      </top>
      <bottom style="hair">
        <color indexed="53"/>
      </bottom>
      <diagonal/>
    </border>
    <border>
      <left style="medium">
        <color indexed="64"/>
      </left>
      <right style="thin">
        <color indexed="64"/>
      </right>
      <top style="medium">
        <color indexed="53"/>
      </top>
      <bottom/>
      <diagonal/>
    </border>
    <border>
      <left style="medium">
        <color indexed="64"/>
      </left>
      <right style="thin">
        <color indexed="64"/>
      </right>
      <top style="dotted">
        <color indexed="53"/>
      </top>
      <bottom style="dotted">
        <color indexed="53"/>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medium">
        <color indexed="64"/>
      </right>
      <top style="hair">
        <color indexed="53"/>
      </top>
      <bottom style="hair">
        <color indexed="53"/>
      </bottom>
      <diagonal/>
    </border>
    <border>
      <left/>
      <right style="medium">
        <color indexed="64"/>
      </right>
      <top/>
      <bottom/>
      <diagonal/>
    </border>
    <border>
      <left/>
      <right/>
      <top style="hair">
        <color indexed="53"/>
      </top>
      <bottom style="hair">
        <color indexed="53"/>
      </bottom>
      <diagonal/>
    </border>
    <border>
      <left/>
      <right/>
      <top style="medium">
        <color indexed="53"/>
      </top>
      <bottom/>
      <diagonal/>
    </border>
    <border>
      <left/>
      <right/>
      <top style="dotted">
        <color indexed="53"/>
      </top>
      <bottom style="dotted">
        <color indexed="53"/>
      </bottom>
      <diagonal/>
    </border>
    <border>
      <left/>
      <right/>
      <top style="hair">
        <color indexed="53"/>
      </top>
      <bottom/>
      <diagonal/>
    </border>
    <border>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hair">
        <color indexed="53"/>
      </bottom>
      <diagonal/>
    </border>
    <border>
      <left/>
      <right style="medium">
        <color indexed="64"/>
      </right>
      <top style="medium">
        <color indexed="64"/>
      </top>
      <bottom/>
      <diagonal/>
    </border>
    <border>
      <left/>
      <right style="medium">
        <color indexed="64"/>
      </right>
      <top/>
      <bottom style="medium">
        <color indexed="64"/>
      </bottom>
      <diagonal/>
    </border>
    <border>
      <left style="thin">
        <color auto="1"/>
      </left>
      <right style="thin">
        <color auto="1"/>
      </right>
      <top style="thin">
        <color auto="1"/>
      </top>
      <bottom/>
      <diagonal/>
    </border>
    <border>
      <left style="medium">
        <color indexed="64"/>
      </left>
      <right style="thin">
        <color indexed="64"/>
      </right>
      <top/>
      <bottom style="hair">
        <color indexed="53"/>
      </bottom>
      <diagonal/>
    </border>
    <border>
      <left/>
      <right style="thin">
        <color indexed="64"/>
      </right>
      <top/>
      <bottom style="hair">
        <color indexed="53"/>
      </bottom>
      <diagonal/>
    </border>
    <border>
      <left style="thin">
        <color indexed="64"/>
      </left>
      <right style="thin">
        <color indexed="64"/>
      </right>
      <top/>
      <bottom style="hair">
        <color indexed="53"/>
      </bottom>
      <diagonal/>
    </border>
    <border>
      <left/>
      <right/>
      <top/>
      <bottom style="hair">
        <color indexed="53"/>
      </bottom>
      <diagonal/>
    </border>
    <border>
      <left style="medium">
        <color indexed="64"/>
      </left>
      <right style="thin">
        <color indexed="64"/>
      </right>
      <top style="medium">
        <color indexed="64"/>
      </top>
      <bottom style="hair">
        <color indexed="53"/>
      </bottom>
      <diagonal/>
    </border>
    <border>
      <left/>
      <right style="thin">
        <color indexed="64"/>
      </right>
      <top style="medium">
        <color indexed="64"/>
      </top>
      <bottom style="hair">
        <color indexed="53"/>
      </bottom>
      <diagonal/>
    </border>
    <border>
      <left/>
      <right style="medium">
        <color indexed="64"/>
      </right>
      <top style="medium">
        <color indexed="64"/>
      </top>
      <bottom style="hair">
        <color indexed="53"/>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bottom/>
      <diagonal/>
    </border>
    <border>
      <left/>
      <right/>
      <top/>
      <bottom style="dotted">
        <color theme="8" tint="0.39997558519241921"/>
      </bottom>
      <diagonal/>
    </border>
    <border>
      <left/>
      <right style="thin">
        <color indexed="64"/>
      </right>
      <top style="medium">
        <color indexed="53"/>
      </top>
      <bottom style="dotted">
        <color theme="8" tint="0.39997558519241921"/>
      </bottom>
      <diagonal/>
    </border>
    <border>
      <left style="thin">
        <color indexed="64"/>
      </left>
      <right style="thin">
        <color indexed="64"/>
      </right>
      <top style="medium">
        <color indexed="53"/>
      </top>
      <bottom style="dotted">
        <color theme="8" tint="0.39997558519241921"/>
      </bottom>
      <diagonal/>
    </border>
    <border>
      <left/>
      <right/>
      <top style="dotted">
        <color theme="8" tint="0.39997558519241921"/>
      </top>
      <bottom style="dotted">
        <color theme="8" tint="0.39997558519241921"/>
      </bottom>
      <diagonal/>
    </border>
    <border>
      <left/>
      <right style="thin">
        <color indexed="64"/>
      </right>
      <top style="dotted">
        <color theme="8" tint="0.39997558519241921"/>
      </top>
      <bottom style="dotted">
        <color theme="8" tint="0.39997558519241921"/>
      </bottom>
      <diagonal/>
    </border>
    <border>
      <left style="thin">
        <color indexed="64"/>
      </left>
      <right style="thin">
        <color indexed="64"/>
      </right>
      <top style="dotted">
        <color theme="8" tint="0.39997558519241921"/>
      </top>
      <bottom style="dotted">
        <color theme="8" tint="0.39997558519241921"/>
      </bottom>
      <diagonal/>
    </border>
    <border>
      <left style="medium">
        <color rgb="FF000000"/>
      </left>
      <right style="medium">
        <color rgb="FF000000"/>
      </right>
      <top style="medium">
        <color rgb="FF000000"/>
      </top>
      <bottom/>
      <diagonal/>
    </border>
    <border>
      <left style="thin">
        <color indexed="64"/>
      </left>
      <right/>
      <top/>
      <bottom/>
      <diagonal/>
    </border>
    <border>
      <left style="thin">
        <color indexed="64"/>
      </left>
      <right/>
      <top style="medium">
        <color indexed="53"/>
      </top>
      <bottom style="dotted">
        <color theme="8" tint="0.39997558519241921"/>
      </bottom>
      <diagonal/>
    </border>
    <border>
      <left style="thin">
        <color indexed="64"/>
      </left>
      <right/>
      <top style="dotted">
        <color theme="8" tint="0.39997558519241921"/>
      </top>
      <bottom style="dotted">
        <color theme="8" tint="0.39997558519241921"/>
      </bottom>
      <diagonal/>
    </border>
    <border>
      <left style="thin">
        <color indexed="64"/>
      </left>
      <right style="thin">
        <color indexed="64"/>
      </right>
      <top/>
      <bottom style="double">
        <color indexed="64"/>
      </bottom>
      <diagonal/>
    </border>
    <border>
      <left style="medium">
        <color indexed="64"/>
      </left>
      <right style="thin">
        <color indexed="64"/>
      </right>
      <top style="medium">
        <color indexed="53"/>
      </top>
      <bottom style="dotted">
        <color theme="8" tint="0.39997558519241921"/>
      </bottom>
      <diagonal/>
    </border>
    <border>
      <left style="thin">
        <color indexed="64"/>
      </left>
      <right style="medium">
        <color indexed="64"/>
      </right>
      <top style="medium">
        <color indexed="53"/>
      </top>
      <bottom style="dotted">
        <color theme="8" tint="0.39997558519241921"/>
      </bottom>
      <diagonal/>
    </border>
    <border>
      <left style="medium">
        <color indexed="64"/>
      </left>
      <right style="thin">
        <color indexed="64"/>
      </right>
      <top style="dotted">
        <color theme="8" tint="0.39997558519241921"/>
      </top>
      <bottom style="dotted">
        <color theme="8" tint="0.39997558519241921"/>
      </bottom>
      <diagonal/>
    </border>
    <border>
      <left style="thin">
        <color indexed="64"/>
      </left>
      <right style="medium">
        <color indexed="64"/>
      </right>
      <top style="dotted">
        <color theme="8" tint="0.39997558519241921"/>
      </top>
      <bottom style="dotted">
        <color theme="8" tint="0.39997558519241921"/>
      </bottom>
      <diagonal/>
    </border>
    <border>
      <left style="medium">
        <color rgb="FF000000"/>
      </left>
      <right/>
      <top style="medium">
        <color rgb="FF000000"/>
      </top>
      <bottom/>
      <diagonal/>
    </border>
    <border>
      <left style="thin">
        <color indexed="64"/>
      </left>
      <right/>
      <top style="medium">
        <color indexed="64"/>
      </top>
      <bottom/>
      <diagonal/>
    </border>
    <border>
      <left style="medium">
        <color indexed="64"/>
      </left>
      <right/>
      <top style="medium">
        <color indexed="64"/>
      </top>
      <bottom/>
      <diagonal/>
    </border>
    <border>
      <left style="medium">
        <color indexed="64"/>
      </left>
      <right style="thin">
        <color indexed="64"/>
      </right>
      <top style="dotted">
        <color theme="8" tint="0.39997558519241921"/>
      </top>
      <bottom style="medium">
        <color theme="5"/>
      </bottom>
      <diagonal/>
    </border>
    <border>
      <left style="thin">
        <color indexed="64"/>
      </left>
      <right style="thin">
        <color indexed="64"/>
      </right>
      <top style="medium">
        <color indexed="64"/>
      </top>
      <bottom style="thin">
        <color indexed="64"/>
      </bottom>
      <diagonal/>
    </border>
    <border>
      <left/>
      <right style="medium">
        <color indexed="64"/>
      </right>
      <top style="medium">
        <color indexed="53"/>
      </top>
      <bottom style="dotted">
        <color theme="8" tint="0.39997558519241921"/>
      </bottom>
      <diagonal/>
    </border>
    <border>
      <left/>
      <right style="medium">
        <color indexed="64"/>
      </right>
      <top style="dotted">
        <color theme="8" tint="0.39997558519241921"/>
      </top>
      <bottom style="dotted">
        <color theme="8" tint="0.39997558519241921"/>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auto="1"/>
      </top>
      <bottom style="medium">
        <color indexed="64"/>
      </bottom>
      <diagonal/>
    </border>
    <border>
      <left style="thin">
        <color indexed="64"/>
      </left>
      <right style="medium">
        <color indexed="64"/>
      </right>
      <top style="thin">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auto="1"/>
      </left>
      <right style="thin">
        <color auto="1"/>
      </right>
      <top style="medium">
        <color indexed="64"/>
      </top>
      <bottom style="double">
        <color indexed="64"/>
      </bottom>
      <diagonal/>
    </border>
    <border>
      <left style="thin">
        <color indexed="64"/>
      </left>
      <right/>
      <top style="medium">
        <color indexed="64"/>
      </top>
      <bottom style="double">
        <color indexed="64"/>
      </bottom>
      <diagonal/>
    </border>
    <border>
      <left style="thin">
        <color auto="1"/>
      </left>
      <right style="medium">
        <color indexed="64"/>
      </right>
      <top style="medium">
        <color indexed="64"/>
      </top>
      <bottom style="double">
        <color indexed="64"/>
      </bottom>
      <diagonal/>
    </border>
    <border>
      <left/>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top/>
      <bottom style="double">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53"/>
      </top>
      <bottom style="dotted">
        <color theme="8" tint="0.39997558519241921"/>
      </bottom>
      <diagonal/>
    </border>
    <border>
      <left style="hair">
        <color indexed="64"/>
      </left>
      <right style="hair">
        <color indexed="64"/>
      </right>
      <top style="medium">
        <color indexed="53"/>
      </top>
      <bottom style="dotted">
        <color theme="8" tint="0.39997558519241921"/>
      </bottom>
      <diagonal/>
    </border>
    <border>
      <left style="hair">
        <color indexed="64"/>
      </left>
      <right style="hair">
        <color indexed="64"/>
      </right>
      <top style="dotted">
        <color theme="8" tint="0.39997558519241921"/>
      </top>
      <bottom style="dotted">
        <color theme="8" tint="0.39997558519241921"/>
      </bottom>
      <diagonal/>
    </border>
    <border>
      <left style="medium">
        <color indexed="64"/>
      </left>
      <right style="hair">
        <color indexed="64"/>
      </right>
      <top/>
      <bottom style="medium">
        <color indexed="53"/>
      </bottom>
      <diagonal/>
    </border>
    <border>
      <left style="hair">
        <color indexed="64"/>
      </left>
      <right style="hair">
        <color indexed="64"/>
      </right>
      <top/>
      <bottom style="medium">
        <color indexed="53"/>
      </bottom>
      <diagonal/>
    </border>
    <border>
      <left style="hair">
        <color indexed="64"/>
      </left>
      <right style="medium">
        <color indexed="64"/>
      </right>
      <top/>
      <bottom style="medium">
        <color indexed="53"/>
      </bottom>
      <diagonal/>
    </border>
    <border>
      <left style="medium">
        <color indexed="64"/>
      </left>
      <right style="hair">
        <color indexed="64"/>
      </right>
      <top style="dotted">
        <color theme="8" tint="0.39997558519241921"/>
      </top>
      <bottom style="dotted">
        <color theme="8" tint="0.39997558519241921"/>
      </bottom>
      <diagonal/>
    </border>
    <border>
      <left/>
      <right style="hair">
        <color indexed="64"/>
      </right>
      <top style="medium">
        <color indexed="53"/>
      </top>
      <bottom style="dotted">
        <color theme="8" tint="0.39997558519241921"/>
      </bottom>
      <diagonal/>
    </border>
    <border>
      <left/>
      <right style="hair">
        <color indexed="64"/>
      </right>
      <top style="dotted">
        <color theme="8" tint="0.39997558519241921"/>
      </top>
      <bottom style="dotted">
        <color theme="8" tint="0.39997558519241921"/>
      </bottom>
      <diagonal/>
    </border>
    <border>
      <left/>
      <right style="hair">
        <color indexed="64"/>
      </right>
      <top/>
      <bottom style="medium">
        <color indexed="53"/>
      </bottom>
      <diagonal/>
    </border>
    <border>
      <left style="medium">
        <color indexed="64"/>
      </left>
      <right style="hair">
        <color indexed="64"/>
      </right>
      <top style="medium">
        <color indexed="53"/>
      </top>
      <bottom style="dotted">
        <color theme="8" tint="0.39997558519241921"/>
      </bottom>
      <diagonal/>
    </border>
    <border>
      <left style="hair">
        <color indexed="64"/>
      </left>
      <right style="medium">
        <color indexed="64"/>
      </right>
      <top style="dotted">
        <color theme="8" tint="0.39997558519241921"/>
      </top>
      <bottom style="medium">
        <color indexed="53"/>
      </bottom>
      <diagonal/>
    </border>
    <border>
      <left style="medium">
        <color indexed="64"/>
      </left>
      <right/>
      <top/>
      <bottom style="medium">
        <color indexed="64"/>
      </bottom>
      <diagonal/>
    </border>
    <border>
      <left/>
      <right/>
      <top/>
      <bottom style="medium">
        <color indexed="64"/>
      </bottom>
      <diagonal/>
    </border>
    <border>
      <left style="medium">
        <color indexed="64"/>
      </left>
      <right/>
      <top/>
      <bottom/>
      <diagonal/>
    </border>
    <border>
      <left style="thin">
        <color indexed="64"/>
      </left>
      <right style="thin">
        <color indexed="64"/>
      </right>
      <top style="dotted">
        <color theme="4" tint="0.79998168889431442"/>
      </top>
      <bottom style="dotted">
        <color theme="8" tint="0.39997558519241921"/>
      </bottom>
      <diagonal/>
    </border>
    <border>
      <left style="thin">
        <color indexed="64"/>
      </left>
      <right style="thin">
        <color indexed="64"/>
      </right>
      <top style="medium">
        <color indexed="53"/>
      </top>
      <bottom style="dotted">
        <color theme="4" tint="0.79998168889431442"/>
      </bottom>
      <diagonal/>
    </border>
    <border>
      <left style="medium">
        <color indexed="64"/>
      </left>
      <right/>
      <top/>
      <bottom style="double">
        <color indexed="64"/>
      </bottom>
      <diagonal/>
    </border>
    <border>
      <left/>
      <right style="thin">
        <color indexed="64"/>
      </right>
      <top/>
      <bottom style="double">
        <color indexed="64"/>
      </bottom>
      <diagonal/>
    </border>
    <border>
      <left style="thin">
        <color auto="1"/>
      </left>
      <right style="medium">
        <color indexed="64"/>
      </right>
      <top/>
      <bottom style="double">
        <color indexed="64"/>
      </bottom>
      <diagonal/>
    </border>
    <border>
      <left style="thin">
        <color indexed="64"/>
      </left>
      <right style="thin">
        <color indexed="64"/>
      </right>
      <top style="dotted">
        <color theme="8" tint="0.39997558519241921"/>
      </top>
      <bottom style="dotted">
        <color theme="4" tint="0.79998168889431442"/>
      </bottom>
      <diagonal/>
    </border>
    <border>
      <left style="thin">
        <color indexed="64"/>
      </left>
      <right style="thin">
        <color indexed="64"/>
      </right>
      <top/>
      <bottom style="dotted">
        <color theme="8" tint="0.39997558519241921"/>
      </bottom>
      <diagonal/>
    </border>
    <border>
      <left style="medium">
        <color indexed="64"/>
      </left>
      <right style="thin">
        <color indexed="64"/>
      </right>
      <top style="dotted">
        <color theme="8" tint="0.39997558519241921"/>
      </top>
      <bottom style="dotted">
        <color theme="4" tint="0.79998168889431442"/>
      </bottom>
      <diagonal/>
    </border>
    <border>
      <left/>
      <right style="thin">
        <color indexed="64"/>
      </right>
      <top/>
      <bottom style="dotted">
        <color theme="8" tint="0.39997558519241921"/>
      </bottom>
      <diagonal/>
    </border>
    <border>
      <left style="thin">
        <color indexed="64"/>
      </left>
      <right style="medium">
        <color indexed="64"/>
      </right>
      <top style="dotted">
        <color theme="8" tint="0.39997558519241921"/>
      </top>
      <bottom style="dotted">
        <color theme="4" tint="0.79998168889431442"/>
      </bottom>
      <diagonal/>
    </border>
    <border>
      <left style="thin">
        <color indexed="64"/>
      </left>
      <right style="medium">
        <color indexed="64"/>
      </right>
      <top/>
      <bottom style="dotted">
        <color theme="8" tint="0.39997558519241921"/>
      </bottom>
      <diagonal/>
    </border>
  </borders>
  <cellStyleXfs count="14">
    <xf numFmtId="0" fontId="0" fillId="0" borderId="0"/>
    <xf numFmtId="43" fontId="3" fillId="0" borderId="0" applyFont="0" applyFill="0" applyBorder="0" applyAlignment="0" applyProtection="0"/>
    <xf numFmtId="44" fontId="3" fillId="0" borderId="0" applyFont="0" applyFill="0" applyBorder="0" applyAlignment="0" applyProtection="0"/>
    <xf numFmtId="0" fontId="1" fillId="0" borderId="1" applyNumberFormat="0" applyFill="0" applyAlignment="0" applyProtection="0"/>
    <xf numFmtId="0" fontId="5" fillId="0" borderId="0" applyNumberFormat="0" applyFill="0" applyBorder="0" applyAlignment="0" applyProtection="0"/>
    <xf numFmtId="0" fontId="18" fillId="2" borderId="0" applyNumberFormat="0" applyBorder="0" applyAlignment="0" applyProtection="0"/>
    <xf numFmtId="0" fontId="12" fillId="0" borderId="2" applyNumberFormat="0" applyFill="0" applyAlignment="0" applyProtection="0"/>
    <xf numFmtId="0" fontId="9" fillId="3" borderId="0" applyNumberFormat="0" applyBorder="0" applyAlignment="0" applyProtection="0"/>
    <xf numFmtId="0" fontId="9" fillId="4" borderId="0" applyNumberFormat="0" applyBorder="0" applyAlignment="0" applyProtection="0"/>
    <xf numFmtId="9" fontId="3" fillId="0" borderId="0" applyFont="0" applyFill="0" applyBorder="0" applyAlignment="0" applyProtection="0"/>
    <xf numFmtId="0" fontId="21" fillId="0" borderId="0" applyNumberFormat="0" applyFill="0" applyBorder="0" applyAlignment="0" applyProtection="0"/>
    <xf numFmtId="43" fontId="14" fillId="0" borderId="0" applyFont="0" applyFill="0" applyBorder="0" applyAlignment="0" applyProtection="0"/>
    <xf numFmtId="0" fontId="14" fillId="0" borderId="0"/>
    <xf numFmtId="0" fontId="5" fillId="0" borderId="0" applyNumberFormat="0" applyFill="0" applyBorder="0" applyAlignment="0" applyProtection="0"/>
  </cellStyleXfs>
  <cellXfs count="847">
    <xf numFmtId="0" fontId="0" fillId="0" borderId="0" xfId="0"/>
    <xf numFmtId="0" fontId="2" fillId="0" borderId="0" xfId="3" applyFont="1" applyBorder="1" applyAlignment="1" applyProtection="1">
      <alignment horizontal="centerContinuous"/>
      <protection locked="0"/>
    </xf>
    <xf numFmtId="0" fontId="2" fillId="0" borderId="0" xfId="3" applyFont="1" applyBorder="1" applyAlignment="1" applyProtection="1">
      <alignment horizontal="center"/>
      <protection locked="0"/>
    </xf>
    <xf numFmtId="0" fontId="4" fillId="0" borderId="0" xfId="0" applyFont="1" applyProtection="1">
      <protection locked="0"/>
    </xf>
    <xf numFmtId="43" fontId="4" fillId="0" borderId="0" xfId="1" applyFont="1" applyProtection="1">
      <protection locked="0"/>
    </xf>
    <xf numFmtId="0" fontId="7" fillId="0" borderId="0" xfId="4" applyFont="1" applyAlignment="1" applyProtection="1">
      <alignment horizontal="centerContinuous" vertical="center"/>
      <protection locked="0"/>
    </xf>
    <xf numFmtId="0" fontId="7" fillId="0" borderId="0" xfId="4" applyFont="1" applyAlignment="1" applyProtection="1">
      <alignment horizontal="center" vertical="center"/>
      <protection locked="0"/>
    </xf>
    <xf numFmtId="0" fontId="6" fillId="0" borderId="0" xfId="0" applyFont="1" applyProtection="1">
      <protection locked="0"/>
    </xf>
    <xf numFmtId="0" fontId="8" fillId="0" borderId="0" xfId="0" applyFont="1" applyAlignment="1" applyProtection="1">
      <alignment horizontal="center"/>
      <protection locked="0"/>
    </xf>
    <xf numFmtId="4" fontId="8" fillId="0" borderId="0" xfId="1" applyNumberFormat="1" applyFont="1" applyAlignment="1" applyProtection="1">
      <alignment horizontal="center"/>
      <protection locked="0"/>
    </xf>
    <xf numFmtId="43" fontId="8" fillId="0" borderId="0" xfId="1" applyFont="1" applyAlignment="1" applyProtection="1">
      <alignment horizontal="center"/>
      <protection locked="0"/>
    </xf>
    <xf numFmtId="4" fontId="4" fillId="0" borderId="0" xfId="1" applyNumberFormat="1" applyFont="1" applyProtection="1">
      <protection locked="0"/>
    </xf>
    <xf numFmtId="0" fontId="4" fillId="0" borderId="0" xfId="1" applyNumberFormat="1" applyFont="1" applyProtection="1">
      <protection locked="0"/>
    </xf>
    <xf numFmtId="0" fontId="4" fillId="0" borderId="0" xfId="1" applyNumberFormat="1" applyFont="1" applyAlignment="1" applyProtection="1">
      <alignment horizontal="center"/>
      <protection locked="0"/>
    </xf>
    <xf numFmtId="0" fontId="8" fillId="0" borderId="0" xfId="0" applyFont="1" applyAlignment="1" applyProtection="1">
      <alignment horizontal="left"/>
      <protection locked="0"/>
    </xf>
    <xf numFmtId="0" fontId="10" fillId="5" borderId="0" xfId="8" applyFont="1" applyFill="1" applyAlignment="1" applyProtection="1">
      <alignment horizontal="center" vertical="center" wrapText="1"/>
      <protection locked="0"/>
    </xf>
    <xf numFmtId="0" fontId="4" fillId="0" borderId="0" xfId="0" applyFont="1" applyAlignment="1" applyProtection="1">
      <alignment horizontal="center" vertical="center" wrapText="1"/>
      <protection locked="0"/>
    </xf>
    <xf numFmtId="0" fontId="10" fillId="0" borderId="8" xfId="6" applyFont="1" applyBorder="1" applyAlignment="1" applyProtection="1">
      <alignment shrinkToFit="1"/>
      <protection locked="0"/>
    </xf>
    <xf numFmtId="44" fontId="8" fillId="0" borderId="0" xfId="2" applyFont="1" applyAlignment="1" applyProtection="1">
      <alignment horizontal="centerContinuous"/>
      <protection locked="0"/>
    </xf>
    <xf numFmtId="44" fontId="8" fillId="0" borderId="0" xfId="2" applyFont="1" applyAlignment="1" applyProtection="1">
      <alignment horizontal="center"/>
      <protection locked="0"/>
    </xf>
    <xf numFmtId="4" fontId="17" fillId="5" borderId="0" xfId="1" applyNumberFormat="1" applyFont="1" applyFill="1" applyProtection="1">
      <protection locked="0"/>
    </xf>
    <xf numFmtId="4" fontId="17" fillId="5" borderId="0" xfId="5" applyNumberFormat="1" applyFont="1" applyFill="1" applyAlignment="1" applyProtection="1">
      <alignment horizontal="center"/>
      <protection locked="0"/>
    </xf>
    <xf numFmtId="4" fontId="8" fillId="0" borderId="0" xfId="0" applyNumberFormat="1" applyFont="1" applyProtection="1">
      <protection locked="0"/>
    </xf>
    <xf numFmtId="0" fontId="8" fillId="0" borderId="0" xfId="1" applyNumberFormat="1" applyFont="1" applyAlignment="1" applyProtection="1">
      <alignment horizontal="center"/>
      <protection locked="0"/>
    </xf>
    <xf numFmtId="4" fontId="15" fillId="0" borderId="0" xfId="1" applyNumberFormat="1" applyFont="1" applyProtection="1">
      <protection locked="0"/>
    </xf>
    <xf numFmtId="43" fontId="15" fillId="0" borderId="0" xfId="1" applyFont="1" applyProtection="1">
      <protection locked="0"/>
    </xf>
    <xf numFmtId="43" fontId="4" fillId="0" borderId="0" xfId="0" applyNumberFormat="1" applyFont="1" applyProtection="1">
      <protection locked="0"/>
    </xf>
    <xf numFmtId="0" fontId="10" fillId="0" borderId="6" xfId="6" applyFont="1" applyBorder="1" applyAlignment="1" applyProtection="1">
      <alignment horizontal="center" shrinkToFit="1"/>
      <protection locked="0"/>
    </xf>
    <xf numFmtId="0" fontId="10" fillId="0" borderId="8" xfId="6" applyFont="1" applyBorder="1" applyAlignment="1" applyProtection="1">
      <alignment horizontal="center" shrinkToFit="1"/>
      <protection locked="0"/>
    </xf>
    <xf numFmtId="0" fontId="4" fillId="0" borderId="4" xfId="6" applyFont="1" applyBorder="1" applyAlignment="1" applyProtection="1">
      <alignment horizontal="center" shrinkToFit="1"/>
      <protection locked="0"/>
    </xf>
    <xf numFmtId="0" fontId="4" fillId="0" borderId="0" xfId="0" applyFont="1" applyAlignment="1" applyProtection="1">
      <alignment horizontal="center"/>
      <protection locked="0"/>
    </xf>
    <xf numFmtId="43" fontId="4" fillId="0" borderId="0" xfId="1" applyFont="1" applyAlignment="1" applyProtection="1">
      <alignment horizontal="center"/>
      <protection locked="0"/>
    </xf>
    <xf numFmtId="43" fontId="4" fillId="0" borderId="0" xfId="0" applyNumberFormat="1" applyFont="1" applyAlignment="1" applyProtection="1">
      <alignment horizontal="center"/>
      <protection locked="0"/>
    </xf>
    <xf numFmtId="43" fontId="10" fillId="0" borderId="6" xfId="1" applyFont="1" applyBorder="1" applyAlignment="1" applyProtection="1">
      <alignment horizontal="center" shrinkToFit="1"/>
      <protection locked="0"/>
    </xf>
    <xf numFmtId="43" fontId="10" fillId="0" borderId="8" xfId="1" applyFont="1" applyBorder="1" applyAlignment="1" applyProtection="1">
      <alignment horizontal="center" shrinkToFit="1"/>
      <protection locked="0"/>
    </xf>
    <xf numFmtId="43" fontId="4" fillId="0" borderId="4" xfId="1" applyFont="1" applyBorder="1" applyAlignment="1" applyProtection="1">
      <alignment horizontal="center" shrinkToFit="1"/>
      <protection locked="0"/>
    </xf>
    <xf numFmtId="0" fontId="10" fillId="0" borderId="8" xfId="1" applyNumberFormat="1" applyFont="1" applyBorder="1" applyAlignment="1" applyProtection="1">
      <alignment horizontal="center" shrinkToFit="1"/>
      <protection locked="0"/>
    </xf>
    <xf numFmtId="0" fontId="4" fillId="0" borderId="4" xfId="1" applyNumberFormat="1" applyFont="1" applyBorder="1" applyAlignment="1" applyProtection="1">
      <alignment horizontal="center" shrinkToFit="1"/>
      <protection locked="0"/>
    </xf>
    <xf numFmtId="43" fontId="2" fillId="0" borderId="0" xfId="1" applyFont="1" applyBorder="1" applyAlignment="1" applyProtection="1">
      <alignment horizontal="centerContinuous"/>
      <protection locked="0"/>
    </xf>
    <xf numFmtId="43" fontId="7" fillId="0" borderId="0" xfId="1" applyFont="1" applyAlignment="1" applyProtection="1">
      <alignment horizontal="centerContinuous" vertical="center"/>
      <protection locked="0"/>
    </xf>
    <xf numFmtId="43" fontId="10" fillId="0" borderId="8" xfId="1" applyFont="1" applyBorder="1" applyAlignment="1" applyProtection="1">
      <alignment shrinkToFit="1"/>
      <protection locked="0"/>
    </xf>
    <xf numFmtId="43" fontId="4" fillId="0" borderId="4" xfId="1" applyFont="1" applyBorder="1" applyAlignment="1" applyProtection="1">
      <alignment horizontal="left" shrinkToFit="1"/>
      <protection locked="0"/>
    </xf>
    <xf numFmtId="0" fontId="2" fillId="0" borderId="0" xfId="1" applyNumberFormat="1" applyFont="1" applyBorder="1" applyAlignment="1" applyProtection="1">
      <alignment horizontal="centerContinuous"/>
      <protection locked="0"/>
    </xf>
    <xf numFmtId="0" fontId="7" fillId="0" borderId="0" xfId="1" applyNumberFormat="1" applyFont="1" applyAlignment="1" applyProtection="1">
      <alignment horizontal="centerContinuous" vertical="center"/>
      <protection locked="0"/>
    </xf>
    <xf numFmtId="43" fontId="22" fillId="0" borderId="0" xfId="11" applyFont="1"/>
    <xf numFmtId="0" fontId="22" fillId="0" borderId="0" xfId="10" applyFont="1"/>
    <xf numFmtId="0" fontId="22" fillId="9" borderId="13" xfId="10" applyFont="1" applyFill="1" applyBorder="1" applyAlignment="1">
      <alignment horizontal="center" vertical="center"/>
    </xf>
    <xf numFmtId="43" fontId="16" fillId="9" borderId="13" xfId="11" applyFont="1" applyFill="1" applyBorder="1" applyAlignment="1">
      <alignment horizontal="center" vertical="center"/>
    </xf>
    <xf numFmtId="43" fontId="16" fillId="9" borderId="13" xfId="11" applyFont="1" applyFill="1" applyBorder="1" applyAlignment="1">
      <alignment horizontal="center" vertical="center" wrapText="1"/>
    </xf>
    <xf numFmtId="43" fontId="22" fillId="9" borderId="13" xfId="11" applyFont="1" applyFill="1" applyBorder="1" applyAlignment="1">
      <alignment horizontal="center" vertical="center" wrapText="1"/>
    </xf>
    <xf numFmtId="0" fontId="22" fillId="0" borderId="4" xfId="10" applyFont="1" applyBorder="1" applyAlignment="1">
      <alignment horizontal="center"/>
    </xf>
    <xf numFmtId="164" fontId="22" fillId="0" borderId="0" xfId="10" applyNumberFormat="1" applyFont="1"/>
    <xf numFmtId="0" fontId="22" fillId="0" borderId="17" xfId="10" applyFont="1" applyBorder="1"/>
    <xf numFmtId="0" fontId="22" fillId="5" borderId="4" xfId="10" applyFont="1" applyFill="1" applyBorder="1" applyAlignment="1">
      <alignment horizontal="center"/>
    </xf>
    <xf numFmtId="43" fontId="22" fillId="0" borderId="0" xfId="10" applyNumberFormat="1" applyFont="1"/>
    <xf numFmtId="0" fontId="22" fillId="6" borderId="13" xfId="10" applyFont="1" applyFill="1" applyBorder="1"/>
    <xf numFmtId="0" fontId="22" fillId="6" borderId="13" xfId="10" applyFont="1" applyFill="1" applyBorder="1" applyAlignment="1">
      <alignment horizontal="centerContinuous"/>
    </xf>
    <xf numFmtId="43" fontId="16" fillId="6" borderId="12" xfId="11" applyFont="1" applyFill="1" applyBorder="1"/>
    <xf numFmtId="0" fontId="13" fillId="0" borderId="0" xfId="12" applyFont="1"/>
    <xf numFmtId="43" fontId="13" fillId="0" borderId="13" xfId="11" applyFont="1" applyBorder="1"/>
    <xf numFmtId="43" fontId="22" fillId="0" borderId="0" xfId="11" applyFont="1" applyFill="1" applyBorder="1"/>
    <xf numFmtId="0" fontId="8" fillId="0" borderId="0" xfId="12" applyFont="1" applyAlignment="1">
      <alignment horizontal="center"/>
    </xf>
    <xf numFmtId="0" fontId="8" fillId="0" borderId="0" xfId="12" applyFont="1"/>
    <xf numFmtId="43" fontId="13" fillId="0" borderId="0" xfId="11" applyFont="1" applyBorder="1"/>
    <xf numFmtId="0" fontId="24" fillId="0" borderId="0" xfId="13" applyFont="1" applyAlignment="1">
      <alignment horizontal="left" indent="5"/>
    </xf>
    <xf numFmtId="0" fontId="13" fillId="0" borderId="0" xfId="12" applyFont="1" applyAlignment="1">
      <alignment horizontal="left"/>
    </xf>
    <xf numFmtId="43" fontId="24" fillId="0" borderId="0" xfId="11" applyFont="1" applyAlignment="1">
      <alignment horizontal="left" indent="1"/>
    </xf>
    <xf numFmtId="43" fontId="13" fillId="0" borderId="0" xfId="11" applyFont="1"/>
    <xf numFmtId="0" fontId="22" fillId="0" borderId="0" xfId="10" applyFont="1" applyBorder="1"/>
    <xf numFmtId="0" fontId="22" fillId="5" borderId="5" xfId="10" applyFont="1" applyFill="1" applyBorder="1" applyAlignment="1">
      <alignment horizontal="center"/>
    </xf>
    <xf numFmtId="0" fontId="22" fillId="5" borderId="20" xfId="10" applyFont="1" applyFill="1" applyBorder="1" applyAlignment="1">
      <alignment horizontal="center"/>
    </xf>
    <xf numFmtId="43" fontId="16" fillId="10" borderId="13" xfId="11" applyFont="1" applyFill="1" applyBorder="1"/>
    <xf numFmtId="0" fontId="13" fillId="0" borderId="13" xfId="10" applyFont="1" applyBorder="1" applyAlignment="1">
      <alignment horizontal="left"/>
    </xf>
    <xf numFmtId="0" fontId="13" fillId="0" borderId="5" xfId="10" applyFont="1" applyBorder="1" applyAlignment="1">
      <alignment horizontal="left"/>
    </xf>
    <xf numFmtId="0" fontId="13" fillId="5" borderId="13" xfId="10" applyFont="1" applyFill="1" applyBorder="1" applyAlignment="1">
      <alignment horizontal="left" vertical="center" wrapText="1"/>
    </xf>
    <xf numFmtId="43" fontId="11" fillId="5" borderId="13" xfId="11" applyFont="1" applyFill="1" applyBorder="1"/>
    <xf numFmtId="49" fontId="25" fillId="0" borderId="0" xfId="10" applyNumberFormat="1" applyFont="1"/>
    <xf numFmtId="164" fontId="26" fillId="0" borderId="0" xfId="10" applyNumberFormat="1" applyFont="1"/>
    <xf numFmtId="164" fontId="25" fillId="0" borderId="0" xfId="10" applyNumberFormat="1" applyFont="1"/>
    <xf numFmtId="0" fontId="13" fillId="0" borderId="13" xfId="11" applyNumberFormat="1" applyFont="1" applyBorder="1" applyAlignment="1">
      <alignment horizontal="center"/>
    </xf>
    <xf numFmtId="0" fontId="11" fillId="5" borderId="13" xfId="11" applyNumberFormat="1" applyFont="1" applyFill="1" applyBorder="1" applyAlignment="1">
      <alignment horizontal="center"/>
    </xf>
    <xf numFmtId="0" fontId="28" fillId="0" borderId="0" xfId="10" applyFont="1"/>
    <xf numFmtId="43" fontId="28" fillId="0" borderId="0" xfId="11" applyFont="1"/>
    <xf numFmtId="43" fontId="30" fillId="0" borderId="13" xfId="11" applyFont="1" applyBorder="1"/>
    <xf numFmtId="43" fontId="28" fillId="0" borderId="0" xfId="11" applyFont="1" applyFill="1"/>
    <xf numFmtId="0" fontId="28" fillId="0" borderId="13" xfId="12" applyFont="1" applyBorder="1" applyAlignment="1">
      <alignment horizontal="center"/>
    </xf>
    <xf numFmtId="43" fontId="28" fillId="0" borderId="13" xfId="11" applyFont="1" applyBorder="1" applyAlignment="1">
      <alignment horizontal="center"/>
    </xf>
    <xf numFmtId="0" fontId="30" fillId="0" borderId="0" xfId="12" applyFont="1"/>
    <xf numFmtId="43" fontId="30" fillId="0" borderId="13" xfId="11" applyFont="1" applyFill="1" applyBorder="1"/>
    <xf numFmtId="9" fontId="30" fillId="0" borderId="13" xfId="9" applyFont="1" applyBorder="1" applyAlignment="1">
      <alignment horizontal="center"/>
    </xf>
    <xf numFmtId="43" fontId="30" fillId="0" borderId="0" xfId="9" applyNumberFormat="1" applyFont="1"/>
    <xf numFmtId="0" fontId="30" fillId="0" borderId="13" xfId="12" applyFont="1" applyBorder="1" applyAlignment="1">
      <alignment horizontal="left"/>
    </xf>
    <xf numFmtId="0" fontId="36" fillId="0" borderId="4" xfId="6" applyFont="1" applyBorder="1" applyAlignment="1" applyProtection="1">
      <alignment horizontal="left" shrinkToFit="1"/>
      <protection locked="0"/>
    </xf>
    <xf numFmtId="9" fontId="8" fillId="0" borderId="0" xfId="9" applyFont="1" applyAlignment="1" applyProtection="1">
      <alignment horizontal="center"/>
      <protection locked="0"/>
    </xf>
    <xf numFmtId="0" fontId="30" fillId="0" borderId="20" xfId="12" applyFont="1" applyBorder="1" applyAlignment="1">
      <alignment horizontal="left"/>
    </xf>
    <xf numFmtId="0" fontId="30" fillId="0" borderId="4" xfId="12" applyFont="1" applyBorder="1" applyAlignment="1">
      <alignment horizontal="left"/>
    </xf>
    <xf numFmtId="164" fontId="30" fillId="0" borderId="0" xfId="12" applyNumberFormat="1" applyFont="1"/>
    <xf numFmtId="43" fontId="41" fillId="0" borderId="8" xfId="1" applyFont="1" applyBorder="1" applyAlignment="1">
      <alignment horizontal="center"/>
    </xf>
    <xf numFmtId="0" fontId="4" fillId="0" borderId="10" xfId="0" applyFont="1" applyBorder="1" applyAlignment="1" applyProtection="1">
      <alignment horizontal="center"/>
      <protection locked="0"/>
    </xf>
    <xf numFmtId="0" fontId="4" fillId="0" borderId="0" xfId="0" applyFont="1" applyAlignment="1" applyProtection="1">
      <alignment horizontal="left"/>
      <protection locked="0"/>
    </xf>
    <xf numFmtId="14" fontId="4" fillId="0" borderId="4" xfId="0" applyNumberFormat="1" applyFont="1" applyBorder="1" applyAlignment="1" applyProtection="1">
      <alignment horizontal="center"/>
      <protection locked="0"/>
    </xf>
    <xf numFmtId="14" fontId="4" fillId="0" borderId="0" xfId="0" applyNumberFormat="1" applyFont="1" applyProtection="1">
      <protection locked="0"/>
    </xf>
    <xf numFmtId="43" fontId="41" fillId="0" borderId="4" xfId="1" applyFont="1" applyBorder="1" applyAlignment="1">
      <alignment horizontal="center"/>
    </xf>
    <xf numFmtId="0" fontId="2" fillId="0" borderId="0" xfId="3" applyFont="1" applyBorder="1" applyAlignment="1" applyProtection="1">
      <alignment horizontal="left"/>
      <protection locked="0"/>
    </xf>
    <xf numFmtId="0" fontId="6" fillId="0" borderId="0" xfId="4" applyFont="1" applyAlignment="1" applyProtection="1">
      <alignment horizontal="left" vertical="center"/>
      <protection locked="0"/>
    </xf>
    <xf numFmtId="4" fontId="4" fillId="0" borderId="0" xfId="1" applyNumberFormat="1" applyFont="1" applyAlignment="1" applyProtection="1">
      <alignment horizontal="center"/>
      <protection locked="0"/>
    </xf>
    <xf numFmtId="4" fontId="15" fillId="0" borderId="0" xfId="1" applyNumberFormat="1" applyFont="1" applyAlignment="1" applyProtection="1">
      <alignment horizontal="center"/>
      <protection locked="0"/>
    </xf>
    <xf numFmtId="0" fontId="19" fillId="4" borderId="24" xfId="8" applyFont="1" applyBorder="1" applyAlignment="1" applyProtection="1">
      <alignment horizontal="center" vertical="center" wrapText="1"/>
      <protection locked="0"/>
    </xf>
    <xf numFmtId="0" fontId="8" fillId="0" borderId="30" xfId="0" applyFont="1" applyBorder="1" applyAlignment="1" applyProtection="1">
      <alignment horizontal="centerContinuous"/>
      <protection locked="0"/>
    </xf>
    <xf numFmtId="0" fontId="8" fillId="0" borderId="31" xfId="0" applyFont="1" applyBorder="1" applyAlignment="1" applyProtection="1">
      <alignment horizontal="centerContinuous"/>
      <protection locked="0"/>
    </xf>
    <xf numFmtId="0" fontId="8" fillId="0" borderId="32" xfId="0" applyFont="1" applyBorder="1" applyAlignment="1" applyProtection="1">
      <alignment horizontal="centerContinuous"/>
      <protection locked="0"/>
    </xf>
    <xf numFmtId="0" fontId="8" fillId="0" borderId="32" xfId="0" applyFont="1" applyBorder="1" applyAlignment="1" applyProtection="1">
      <alignment horizontal="center"/>
      <protection locked="0"/>
    </xf>
    <xf numFmtId="43" fontId="8" fillId="0" borderId="32" xfId="0" applyNumberFormat="1" applyFont="1" applyBorder="1" applyAlignment="1" applyProtection="1">
      <alignment horizontal="centerContinuous"/>
      <protection locked="0"/>
    </xf>
    <xf numFmtId="0" fontId="43" fillId="0" borderId="0" xfId="0" applyFont="1"/>
    <xf numFmtId="43" fontId="4" fillId="0" borderId="8" xfId="1" applyFont="1" applyBorder="1" applyAlignment="1">
      <alignment horizontal="center"/>
    </xf>
    <xf numFmtId="43" fontId="4" fillId="0" borderId="4" xfId="1" applyFont="1" applyBorder="1" applyAlignment="1">
      <alignment horizontal="center"/>
    </xf>
    <xf numFmtId="0" fontId="10" fillId="0" borderId="4" xfId="6" applyFont="1" applyBorder="1" applyAlignment="1" applyProtection="1">
      <alignment horizontal="center" shrinkToFit="1"/>
      <protection locked="0"/>
    </xf>
    <xf numFmtId="43" fontId="10" fillId="0" borderId="4" xfId="1" applyFont="1" applyBorder="1" applyAlignment="1" applyProtection="1">
      <alignment horizontal="center" shrinkToFit="1"/>
      <protection locked="0"/>
    </xf>
    <xf numFmtId="0" fontId="10" fillId="0" borderId="4" xfId="1" applyNumberFormat="1" applyFont="1" applyBorder="1" applyAlignment="1" applyProtection="1">
      <alignment horizontal="center" shrinkToFit="1"/>
      <protection locked="0"/>
    </xf>
    <xf numFmtId="0" fontId="13" fillId="5" borderId="13" xfId="10" applyFont="1" applyFill="1" applyBorder="1" applyAlignment="1">
      <alignment horizontal="left"/>
    </xf>
    <xf numFmtId="43" fontId="10" fillId="0" borderId="7" xfId="1" applyFont="1" applyBorder="1" applyAlignment="1" applyProtection="1">
      <alignment horizontal="center" shrinkToFit="1"/>
      <protection locked="0"/>
    </xf>
    <xf numFmtId="164" fontId="4" fillId="5" borderId="7" xfId="1" applyNumberFormat="1" applyFont="1" applyFill="1" applyBorder="1" applyAlignment="1" applyProtection="1">
      <protection locked="0"/>
    </xf>
    <xf numFmtId="0" fontId="10" fillId="0" borderId="0" xfId="6" applyFont="1" applyBorder="1" applyAlignment="1" applyProtection="1">
      <protection locked="0"/>
    </xf>
    <xf numFmtId="0" fontId="40" fillId="5" borderId="25" xfId="6" applyFont="1" applyFill="1" applyBorder="1" applyAlignment="1" applyProtection="1">
      <alignment horizontal="center"/>
      <protection locked="0"/>
    </xf>
    <xf numFmtId="0" fontId="40" fillId="5" borderId="3" xfId="6" applyFont="1" applyFill="1" applyBorder="1" applyAlignment="1" applyProtection="1">
      <alignment horizontal="center"/>
      <protection locked="0"/>
    </xf>
    <xf numFmtId="4" fontId="4" fillId="0" borderId="10" xfId="1" applyNumberFormat="1" applyFont="1" applyBorder="1" applyAlignment="1" applyProtection="1">
      <protection locked="0"/>
    </xf>
    <xf numFmtId="4" fontId="4" fillId="0" borderId="4" xfId="1" applyNumberFormat="1" applyFont="1" applyBorder="1" applyAlignment="1" applyProtection="1">
      <protection locked="0"/>
    </xf>
    <xf numFmtId="0" fontId="40" fillId="5" borderId="26" xfId="6" applyFont="1" applyFill="1" applyBorder="1" applyAlignment="1" applyProtection="1">
      <alignment horizontal="center"/>
      <protection locked="0"/>
    </xf>
    <xf numFmtId="0" fontId="4" fillId="0" borderId="11" xfId="6" applyFont="1" applyBorder="1" applyAlignment="1" applyProtection="1">
      <alignment horizontal="center"/>
      <protection locked="0"/>
    </xf>
    <xf numFmtId="0" fontId="10" fillId="0" borderId="7" xfId="6" applyFont="1" applyBorder="1" applyAlignment="1" applyProtection="1">
      <alignment shrinkToFit="1"/>
      <protection locked="0"/>
    </xf>
    <xf numFmtId="0" fontId="40" fillId="5" borderId="9" xfId="6" applyFont="1" applyFill="1" applyBorder="1" applyAlignment="1" applyProtection="1">
      <alignment horizontal="center"/>
      <protection locked="0"/>
    </xf>
    <xf numFmtId="43" fontId="4" fillId="0" borderId="0" xfId="1" applyFont="1" applyAlignment="1" applyProtection="1">
      <protection locked="0"/>
    </xf>
    <xf numFmtId="4" fontId="10" fillId="0" borderId="10" xfId="1" applyNumberFormat="1" applyFont="1" applyBorder="1" applyAlignment="1" applyProtection="1">
      <protection locked="0"/>
    </xf>
    <xf numFmtId="4" fontId="10" fillId="0" borderId="4" xfId="1" applyNumberFormat="1" applyFont="1" applyBorder="1" applyAlignment="1" applyProtection="1">
      <protection locked="0"/>
    </xf>
    <xf numFmtId="43" fontId="28" fillId="0" borderId="34" xfId="11" applyFont="1" applyFill="1" applyBorder="1" applyAlignment="1">
      <alignment horizontal="center"/>
    </xf>
    <xf numFmtId="0" fontId="13" fillId="0" borderId="34" xfId="10" applyFont="1" applyBorder="1" applyAlignment="1">
      <alignment horizontal="left"/>
    </xf>
    <xf numFmtId="0" fontId="13" fillId="0" borderId="35" xfId="10" applyFont="1" applyBorder="1" applyAlignment="1">
      <alignment horizontal="left"/>
    </xf>
    <xf numFmtId="43" fontId="8" fillId="0" borderId="32" xfId="0" applyNumberFormat="1" applyFont="1" applyBorder="1" applyAlignment="1" applyProtection="1">
      <alignment horizontal="left"/>
      <protection locked="0"/>
    </xf>
    <xf numFmtId="164" fontId="44" fillId="0" borderId="0" xfId="10" applyNumberFormat="1" applyFont="1"/>
    <xf numFmtId="43" fontId="8" fillId="10" borderId="32" xfId="0" applyNumberFormat="1" applyFont="1" applyFill="1" applyBorder="1" applyAlignment="1" applyProtection="1">
      <alignment horizontal="centerContinuous"/>
      <protection locked="0"/>
    </xf>
    <xf numFmtId="0" fontId="4" fillId="0" borderId="10" xfId="6" applyFont="1" applyBorder="1" applyAlignment="1" applyProtection="1">
      <alignment shrinkToFit="1"/>
      <protection locked="0"/>
    </xf>
    <xf numFmtId="0" fontId="13" fillId="0" borderId="36" xfId="10" applyFont="1" applyBorder="1" applyAlignment="1">
      <alignment horizontal="left"/>
    </xf>
    <xf numFmtId="0" fontId="13" fillId="0" borderId="37" xfId="10" applyFont="1" applyBorder="1" applyAlignment="1">
      <alignment horizontal="left"/>
    </xf>
    <xf numFmtId="4" fontId="10" fillId="11" borderId="38" xfId="7" applyNumberFormat="1" applyFont="1" applyFill="1" applyBorder="1" applyAlignment="1" applyProtection="1">
      <alignment horizontal="center"/>
      <protection hidden="1"/>
    </xf>
    <xf numFmtId="0" fontId="4" fillId="0" borderId="40" xfId="0" applyFont="1" applyBorder="1" applyAlignment="1" applyProtection="1">
      <alignment horizontal="center"/>
      <protection locked="0"/>
    </xf>
    <xf numFmtId="14" fontId="4" fillId="0" borderId="0" xfId="0" applyNumberFormat="1" applyFont="1" applyAlignment="1" applyProtection="1">
      <alignment horizontal="center"/>
      <protection locked="0"/>
    </xf>
    <xf numFmtId="43" fontId="8" fillId="0" borderId="31" xfId="0" applyNumberFormat="1" applyFont="1" applyBorder="1" applyAlignment="1" applyProtection="1">
      <alignment horizontal="centerContinuous"/>
      <protection locked="0"/>
    </xf>
    <xf numFmtId="4" fontId="10" fillId="11" borderId="6" xfId="7" applyNumberFormat="1" applyFont="1" applyFill="1" applyBorder="1" applyAlignment="1" applyProtection="1">
      <alignment horizontal="center"/>
      <protection hidden="1"/>
    </xf>
    <xf numFmtId="4" fontId="10" fillId="11" borderId="10" xfId="7" applyNumberFormat="1" applyFont="1" applyFill="1" applyBorder="1" applyAlignment="1" applyProtection="1">
      <alignment horizontal="center"/>
      <protection hidden="1"/>
    </xf>
    <xf numFmtId="4" fontId="10" fillId="11" borderId="4" xfId="7" applyNumberFormat="1" applyFont="1" applyFill="1" applyBorder="1" applyAlignment="1" applyProtection="1">
      <alignment horizontal="center"/>
      <protection hidden="1"/>
    </xf>
    <xf numFmtId="4" fontId="4" fillId="11" borderId="10" xfId="7" applyNumberFormat="1" applyFont="1" applyFill="1" applyBorder="1" applyAlignment="1" applyProtection="1">
      <alignment horizontal="center"/>
      <protection hidden="1"/>
    </xf>
    <xf numFmtId="4" fontId="4" fillId="11" borderId="4" xfId="7" applyNumberFormat="1" applyFont="1" applyFill="1" applyBorder="1" applyAlignment="1" applyProtection="1">
      <alignment horizontal="center"/>
      <protection hidden="1"/>
    </xf>
    <xf numFmtId="43" fontId="8" fillId="0" borderId="32" xfId="0" applyNumberFormat="1" applyFont="1" applyBorder="1" applyAlignment="1" applyProtection="1">
      <alignment horizontal="center"/>
      <protection locked="0"/>
    </xf>
    <xf numFmtId="43" fontId="10" fillId="0" borderId="7" xfId="1" applyFont="1" applyFill="1" applyBorder="1" applyAlignment="1" applyProtection="1">
      <alignment horizontal="center" shrinkToFit="1"/>
      <protection locked="0"/>
    </xf>
    <xf numFmtId="43" fontId="6" fillId="0" borderId="0" xfId="1" applyFont="1" applyAlignment="1" applyProtection="1">
      <alignment horizontal="center"/>
      <protection locked="0"/>
    </xf>
    <xf numFmtId="9" fontId="6" fillId="0" borderId="0" xfId="9" applyFont="1" applyAlignment="1" applyProtection="1">
      <alignment horizontal="center"/>
      <protection locked="0"/>
    </xf>
    <xf numFmtId="43" fontId="45" fillId="0" borderId="0" xfId="1" applyFont="1" applyAlignment="1" applyProtection="1">
      <alignment horizontal="center"/>
      <protection locked="0"/>
    </xf>
    <xf numFmtId="43" fontId="45" fillId="0" borderId="0" xfId="1" applyFont="1" applyProtection="1">
      <protection locked="0"/>
    </xf>
    <xf numFmtId="0" fontId="8" fillId="0" borderId="0" xfId="10" applyFont="1"/>
    <xf numFmtId="9" fontId="37" fillId="7" borderId="0" xfId="9" applyFont="1" applyFill="1" applyAlignment="1">
      <alignment horizontal="center"/>
    </xf>
    <xf numFmtId="43" fontId="8" fillId="0" borderId="0" xfId="11" applyFont="1"/>
    <xf numFmtId="0" fontId="46" fillId="4" borderId="24" xfId="8" applyFont="1" applyBorder="1" applyAlignment="1" applyProtection="1">
      <alignment horizontal="center" vertical="center" wrapText="1"/>
      <protection locked="0"/>
    </xf>
    <xf numFmtId="43" fontId="46" fillId="12" borderId="4" xfId="1" applyFont="1" applyFill="1" applyBorder="1" applyAlignment="1" applyProtection="1">
      <alignment horizontal="center" vertical="center" wrapText="1"/>
      <protection locked="0"/>
    </xf>
    <xf numFmtId="4" fontId="46" fillId="12" borderId="4" xfId="8" applyNumberFormat="1" applyFont="1" applyFill="1" applyBorder="1" applyAlignment="1" applyProtection="1">
      <alignment horizontal="center" vertical="center" wrapText="1"/>
      <protection locked="0"/>
    </xf>
    <xf numFmtId="4" fontId="50" fillId="13" borderId="4" xfId="8" applyNumberFormat="1" applyFont="1" applyFill="1" applyBorder="1" applyAlignment="1" applyProtection="1">
      <alignment horizontal="center" vertical="center" wrapText="1"/>
      <protection hidden="1"/>
    </xf>
    <xf numFmtId="4" fontId="10" fillId="0" borderId="7" xfId="7" applyNumberFormat="1" applyFont="1" applyFill="1" applyBorder="1" applyAlignment="1" applyProtection="1">
      <alignment horizontal="center"/>
      <protection hidden="1"/>
    </xf>
    <xf numFmtId="4" fontId="10" fillId="0" borderId="4" xfId="7" applyNumberFormat="1" applyFont="1" applyFill="1" applyBorder="1" applyAlignment="1" applyProtection="1">
      <alignment horizontal="center"/>
      <protection hidden="1"/>
    </xf>
    <xf numFmtId="0" fontId="4" fillId="0" borderId="6" xfId="0" applyFont="1" applyBorder="1" applyAlignment="1" applyProtection="1">
      <alignment horizontal="center"/>
      <protection locked="0"/>
    </xf>
    <xf numFmtId="0" fontId="4" fillId="0" borderId="14" xfId="0" applyFont="1" applyBorder="1" applyAlignment="1" applyProtection="1">
      <alignment horizontal="center"/>
      <protection locked="0"/>
    </xf>
    <xf numFmtId="4" fontId="10" fillId="0" borderId="14" xfId="7" applyNumberFormat="1" applyFont="1" applyFill="1" applyBorder="1" applyAlignment="1" applyProtection="1">
      <alignment horizontal="center"/>
      <protection hidden="1"/>
    </xf>
    <xf numFmtId="0" fontId="4" fillId="0" borderId="4" xfId="0" applyFont="1" applyBorder="1" applyAlignment="1" applyProtection="1">
      <alignment horizontal="center"/>
      <protection locked="0"/>
    </xf>
    <xf numFmtId="0" fontId="51" fillId="0" borderId="0" xfId="0" applyFont="1" applyProtection="1">
      <protection locked="0"/>
    </xf>
    <xf numFmtId="0" fontId="13" fillId="0" borderId="45" xfId="12" applyFont="1" applyBorder="1" applyAlignment="1">
      <alignment horizontal="center"/>
    </xf>
    <xf numFmtId="9" fontId="13" fillId="0" borderId="45" xfId="9" applyFont="1" applyBorder="1" applyAlignment="1">
      <alignment horizontal="center"/>
    </xf>
    <xf numFmtId="43" fontId="13" fillId="0" borderId="45" xfId="12" applyNumberFormat="1" applyFont="1" applyBorder="1" applyAlignment="1">
      <alignment horizontal="center"/>
    </xf>
    <xf numFmtId="0" fontId="22" fillId="0" borderId="0" xfId="10" applyFont="1" applyAlignment="1"/>
    <xf numFmtId="0" fontId="30" fillId="5" borderId="4" xfId="10" applyFont="1" applyFill="1" applyBorder="1" applyAlignment="1">
      <alignment horizontal="center"/>
    </xf>
    <xf numFmtId="0" fontId="22" fillId="0" borderId="17" xfId="10" applyFont="1" applyBorder="1" applyAlignment="1"/>
    <xf numFmtId="41" fontId="13" fillId="5" borderId="4" xfId="10" applyNumberFormat="1" applyFont="1" applyFill="1" applyBorder="1" applyAlignment="1">
      <alignment horizontal="center"/>
    </xf>
    <xf numFmtId="0" fontId="22" fillId="0" borderId="0" xfId="10" applyFont="1" applyBorder="1" applyAlignment="1"/>
    <xf numFmtId="0" fontId="32" fillId="0" borderId="13" xfId="12" applyFont="1" applyBorder="1"/>
    <xf numFmtId="0" fontId="32" fillId="0" borderId="34" xfId="12" applyFont="1" applyBorder="1"/>
    <xf numFmtId="0" fontId="32" fillId="0" borderId="36" xfId="12" applyFont="1" applyBorder="1"/>
    <xf numFmtId="0" fontId="22" fillId="0" borderId="0" xfId="12" applyFont="1"/>
    <xf numFmtId="43" fontId="13" fillId="0" borderId="0" xfId="11" applyFont="1" applyBorder="1" applyAlignment="1"/>
    <xf numFmtId="43" fontId="22" fillId="0" borderId="0" xfId="11" applyFont="1" applyFill="1" applyBorder="1" applyAlignment="1"/>
    <xf numFmtId="43" fontId="13" fillId="11" borderId="0" xfId="11" applyFont="1" applyFill="1" applyAlignment="1"/>
    <xf numFmtId="43" fontId="22" fillId="0" borderId="0" xfId="11" applyFont="1" applyAlignment="1"/>
    <xf numFmtId="43" fontId="13" fillId="0" borderId="0" xfId="11" applyFont="1" applyAlignment="1"/>
    <xf numFmtId="0" fontId="32" fillId="0" borderId="45" xfId="12" applyFont="1" applyBorder="1"/>
    <xf numFmtId="0" fontId="13" fillId="0" borderId="46" xfId="10" applyFont="1" applyBorder="1" applyAlignment="1">
      <alignment horizontal="left"/>
    </xf>
    <xf numFmtId="0" fontId="13" fillId="0" borderId="47" xfId="10" applyFont="1" applyBorder="1" applyAlignment="1">
      <alignment horizontal="left"/>
    </xf>
    <xf numFmtId="9" fontId="52" fillId="17" borderId="0" xfId="0" applyNumberFormat="1" applyFont="1" applyFill="1" applyAlignment="1">
      <alignment horizontal="center"/>
    </xf>
    <xf numFmtId="9" fontId="30" fillId="0" borderId="46" xfId="9" applyFont="1" applyBorder="1" applyAlignment="1">
      <alignment horizontal="center"/>
    </xf>
    <xf numFmtId="43" fontId="13" fillId="0" borderId="46" xfId="12" applyNumberFormat="1" applyFont="1" applyBorder="1" applyAlignment="1">
      <alignment horizontal="center"/>
    </xf>
    <xf numFmtId="0" fontId="13" fillId="0" borderId="44" xfId="12" applyFont="1" applyBorder="1" applyAlignment="1">
      <alignment horizontal="center"/>
    </xf>
    <xf numFmtId="0" fontId="30" fillId="0" borderId="46" xfId="12" applyFont="1" applyBorder="1" applyAlignment="1">
      <alignment horizontal="left"/>
    </xf>
    <xf numFmtId="0" fontId="32" fillId="0" borderId="46" xfId="12" applyFont="1" applyBorder="1"/>
    <xf numFmtId="164" fontId="13" fillId="0" borderId="46" xfId="12" applyNumberFormat="1" applyFont="1" applyBorder="1" applyAlignment="1">
      <alignment horizontal="center"/>
    </xf>
    <xf numFmtId="0" fontId="13" fillId="0" borderId="46" xfId="12" applyFont="1" applyBorder="1" applyAlignment="1">
      <alignment horizontal="center"/>
    </xf>
    <xf numFmtId="9" fontId="13" fillId="0" borderId="46" xfId="9" applyFont="1" applyBorder="1" applyAlignment="1">
      <alignment horizontal="center"/>
    </xf>
    <xf numFmtId="0" fontId="4" fillId="0" borderId="0" xfId="12" applyFont="1" applyAlignment="1">
      <alignment vertical="center"/>
    </xf>
    <xf numFmtId="43" fontId="4" fillId="0" borderId="10" xfId="1" applyFont="1" applyBorder="1" applyAlignment="1" applyProtection="1">
      <alignment horizontal="left" shrinkToFit="1"/>
      <protection locked="0"/>
    </xf>
    <xf numFmtId="0" fontId="4" fillId="0" borderId="41" xfId="0" applyFont="1" applyBorder="1" applyAlignment="1" applyProtection="1">
      <alignment horizontal="center"/>
      <protection locked="0"/>
    </xf>
    <xf numFmtId="4" fontId="10" fillId="11" borderId="14" xfId="7" applyNumberFormat="1" applyFont="1" applyFill="1" applyBorder="1" applyAlignment="1" applyProtection="1">
      <alignment horizontal="center"/>
      <protection hidden="1"/>
    </xf>
    <xf numFmtId="0" fontId="4" fillId="0" borderId="42" xfId="0" applyFont="1" applyBorder="1" applyAlignment="1" applyProtection="1">
      <alignment horizontal="center"/>
      <protection locked="0"/>
    </xf>
    <xf numFmtId="0" fontId="4" fillId="0" borderId="15" xfId="0" applyFont="1" applyBorder="1" applyAlignment="1" applyProtection="1">
      <alignment horizontal="center"/>
      <protection locked="0"/>
    </xf>
    <xf numFmtId="4" fontId="10" fillId="0" borderId="15" xfId="7" applyNumberFormat="1" applyFont="1" applyFill="1" applyBorder="1" applyAlignment="1" applyProtection="1">
      <alignment horizontal="center"/>
      <protection hidden="1"/>
    </xf>
    <xf numFmtId="0" fontId="4" fillId="0" borderId="43" xfId="0" applyFont="1" applyBorder="1" applyAlignment="1" applyProtection="1">
      <alignment horizontal="center"/>
      <protection locked="0"/>
    </xf>
    <xf numFmtId="43" fontId="22" fillId="10" borderId="0" xfId="11" applyFont="1" applyFill="1" applyBorder="1"/>
    <xf numFmtId="0" fontId="8" fillId="19" borderId="45" xfId="12" applyFont="1" applyFill="1" applyBorder="1" applyAlignment="1">
      <alignment horizontal="center" vertical="center"/>
    </xf>
    <xf numFmtId="0" fontId="37" fillId="19" borderId="12" xfId="12" applyFont="1" applyFill="1" applyBorder="1"/>
    <xf numFmtId="0" fontId="37" fillId="19" borderId="18" xfId="12" applyFont="1" applyFill="1" applyBorder="1"/>
    <xf numFmtId="0" fontId="37" fillId="19" borderId="19" xfId="12" applyFont="1" applyFill="1" applyBorder="1"/>
    <xf numFmtId="0" fontId="8" fillId="19" borderId="46" xfId="12" applyFont="1" applyFill="1" applyBorder="1" applyAlignment="1">
      <alignment horizontal="center" vertical="center"/>
    </xf>
    <xf numFmtId="43" fontId="8" fillId="19" borderId="46" xfId="11" applyFont="1" applyFill="1" applyBorder="1" applyAlignment="1">
      <alignment horizontal="center" vertical="center"/>
    </xf>
    <xf numFmtId="0" fontId="8" fillId="19" borderId="46" xfId="12" applyFont="1" applyFill="1" applyBorder="1" applyAlignment="1">
      <alignment horizontal="center" vertical="center" wrapText="1"/>
    </xf>
    <xf numFmtId="0" fontId="8" fillId="19" borderId="44" xfId="12" applyFont="1" applyFill="1" applyBorder="1" applyAlignment="1">
      <alignment horizontal="center" vertical="center"/>
    </xf>
    <xf numFmtId="43" fontId="46" fillId="20" borderId="4" xfId="1" applyFont="1" applyFill="1" applyBorder="1" applyAlignment="1" applyProtection="1">
      <alignment horizontal="center" vertical="center" wrapText="1"/>
      <protection locked="0"/>
    </xf>
    <xf numFmtId="43" fontId="10" fillId="0" borderId="6" xfId="1" applyFont="1" applyBorder="1" applyAlignment="1" applyProtection="1">
      <alignment shrinkToFit="1"/>
      <protection locked="0"/>
    </xf>
    <xf numFmtId="0" fontId="10" fillId="12" borderId="24" xfId="1" applyNumberFormat="1" applyFont="1" applyFill="1" applyBorder="1" applyAlignment="1" applyProtection="1">
      <alignment horizontal="center" vertical="center" wrapText="1"/>
      <protection locked="0"/>
    </xf>
    <xf numFmtId="17" fontId="10" fillId="0" borderId="7" xfId="1" quotePrefix="1" applyNumberFormat="1" applyFont="1" applyBorder="1" applyAlignment="1" applyProtection="1">
      <alignment horizontal="center" shrinkToFit="1"/>
      <protection locked="0"/>
    </xf>
    <xf numFmtId="43" fontId="13" fillId="0" borderId="46" xfId="9" applyNumberFormat="1" applyFont="1" applyBorder="1" applyAlignment="1">
      <alignment horizontal="center"/>
    </xf>
    <xf numFmtId="43" fontId="13" fillId="0" borderId="46" xfId="11" applyFont="1" applyBorder="1" applyAlignment="1"/>
    <xf numFmtId="43" fontId="13" fillId="0" borderId="46" xfId="11" applyFont="1" applyFill="1" applyBorder="1" applyAlignment="1"/>
    <xf numFmtId="43" fontId="13" fillId="0" borderId="46" xfId="1" applyFont="1" applyBorder="1" applyAlignment="1"/>
    <xf numFmtId="43" fontId="13" fillId="0" borderId="46" xfId="12" applyNumberFormat="1" applyFont="1" applyBorder="1"/>
    <xf numFmtId="43" fontId="13" fillId="18" borderId="46" xfId="9" applyNumberFormat="1" applyFont="1" applyFill="1" applyBorder="1" applyAlignment="1"/>
    <xf numFmtId="43" fontId="13" fillId="0" borderId="46" xfId="9" applyNumberFormat="1" applyFont="1" applyFill="1" applyBorder="1" applyAlignment="1">
      <alignment horizontal="center"/>
    </xf>
    <xf numFmtId="0" fontId="23" fillId="0" borderId="46" xfId="12" applyFont="1" applyBorder="1"/>
    <xf numFmtId="10" fontId="13" fillId="0" borderId="46" xfId="9" applyNumberFormat="1" applyFont="1" applyBorder="1" applyAlignment="1">
      <alignment horizontal="center"/>
    </xf>
    <xf numFmtId="43" fontId="22" fillId="0" borderId="46" xfId="11" applyFont="1" applyFill="1" applyBorder="1" applyAlignment="1"/>
    <xf numFmtId="43" fontId="22" fillId="10" borderId="46" xfId="11" applyFont="1" applyFill="1" applyBorder="1" applyAlignment="1"/>
    <xf numFmtId="0" fontId="13" fillId="0" borderId="46" xfId="12" applyFont="1" applyBorder="1"/>
    <xf numFmtId="43" fontId="10" fillId="0" borderId="6" xfId="1" applyFont="1" applyBorder="1" applyAlignment="1" applyProtection="1">
      <alignment horizontal="right" wrapText="1" shrinkToFit="1"/>
      <protection locked="0"/>
    </xf>
    <xf numFmtId="0" fontId="36" fillId="0" borderId="4" xfId="6" applyFont="1" applyBorder="1" applyAlignment="1" applyProtection="1">
      <alignment horizontal="left" wrapText="1" shrinkToFit="1"/>
      <protection locked="0"/>
    </xf>
    <xf numFmtId="43" fontId="10" fillId="0" borderId="7" xfId="1" applyFont="1" applyBorder="1" applyAlignment="1" applyProtection="1">
      <alignment shrinkToFit="1"/>
      <protection locked="0"/>
    </xf>
    <xf numFmtId="4" fontId="10" fillId="3" borderId="6" xfId="7" applyNumberFormat="1" applyFont="1" applyBorder="1" applyAlignment="1" applyProtection="1">
      <protection hidden="1"/>
    </xf>
    <xf numFmtId="4" fontId="10" fillId="3" borderId="10" xfId="7" applyNumberFormat="1" applyFont="1" applyBorder="1" applyAlignment="1" applyProtection="1">
      <protection hidden="1"/>
    </xf>
    <xf numFmtId="4" fontId="10" fillId="3" borderId="4" xfId="7" applyNumberFormat="1" applyFont="1" applyBorder="1" applyAlignment="1" applyProtection="1">
      <protection hidden="1"/>
    </xf>
    <xf numFmtId="0" fontId="10" fillId="0" borderId="27" xfId="6" applyFont="1" applyBorder="1" applyAlignment="1" applyProtection="1">
      <alignment horizontal="center"/>
      <protection locked="0"/>
    </xf>
    <xf numFmtId="0" fontId="10" fillId="0" borderId="11" xfId="6" applyFont="1" applyBorder="1" applyAlignment="1" applyProtection="1">
      <alignment horizontal="center"/>
      <protection locked="0"/>
    </xf>
    <xf numFmtId="0" fontId="10" fillId="0" borderId="10" xfId="6" applyFont="1" applyBorder="1" applyAlignment="1" applyProtection="1">
      <alignment shrinkToFit="1"/>
      <protection locked="0"/>
    </xf>
    <xf numFmtId="0" fontId="10" fillId="0" borderId="28" xfId="6" applyFont="1" applyBorder="1" applyAlignment="1" applyProtection="1">
      <alignment horizontal="center"/>
      <protection locked="0"/>
    </xf>
    <xf numFmtId="0" fontId="40" fillId="5" borderId="29" xfId="6" applyFont="1" applyFill="1" applyBorder="1" applyAlignment="1" applyProtection="1">
      <alignment horizontal="center"/>
      <protection locked="0"/>
    </xf>
    <xf numFmtId="0" fontId="10" fillId="0" borderId="16" xfId="6" applyFont="1" applyBorder="1" applyAlignment="1" applyProtection="1">
      <alignment horizontal="center"/>
      <protection locked="0"/>
    </xf>
    <xf numFmtId="0" fontId="10" fillId="0" borderId="7" xfId="1" applyNumberFormat="1" applyFont="1" applyBorder="1" applyAlignment="1" applyProtection="1">
      <alignment horizontal="center" shrinkToFit="1"/>
      <protection locked="0"/>
    </xf>
    <xf numFmtId="0" fontId="8" fillId="0" borderId="0" xfId="0" applyFont="1" applyProtection="1">
      <protection locked="0"/>
    </xf>
    <xf numFmtId="0" fontId="46" fillId="4" borderId="22" xfId="8" applyFont="1" applyBorder="1" applyAlignment="1" applyProtection="1">
      <alignment horizontal="center" vertical="center" wrapText="1"/>
      <protection locked="0"/>
    </xf>
    <xf numFmtId="0" fontId="46" fillId="4" borderId="23" xfId="8" applyFont="1" applyBorder="1" applyAlignment="1" applyProtection="1">
      <alignment horizontal="center" vertical="center" wrapText="1"/>
      <protection locked="0"/>
    </xf>
    <xf numFmtId="43" fontId="46" fillId="4" borderId="24" xfId="1" applyFont="1" applyFill="1" applyBorder="1" applyAlignment="1" applyProtection="1">
      <alignment horizontal="center" vertical="center" wrapText="1"/>
      <protection locked="0"/>
    </xf>
    <xf numFmtId="0" fontId="46" fillId="4" borderId="24" xfId="1" applyNumberFormat="1" applyFont="1" applyFill="1" applyBorder="1" applyAlignment="1" applyProtection="1">
      <alignment horizontal="center" vertical="center" wrapText="1"/>
      <protection locked="0"/>
    </xf>
    <xf numFmtId="43" fontId="46" fillId="12" borderId="24" xfId="1" applyFont="1" applyFill="1" applyBorder="1" applyAlignment="1" applyProtection="1">
      <alignment horizontal="center" vertical="center" wrapText="1"/>
      <protection locked="0"/>
    </xf>
    <xf numFmtId="164" fontId="4" fillId="0" borderId="4" xfId="1" applyNumberFormat="1" applyFont="1" applyBorder="1" applyAlignment="1" applyProtection="1">
      <protection locked="0"/>
    </xf>
    <xf numFmtId="43" fontId="4" fillId="0" borderId="4" xfId="1" applyFont="1" applyBorder="1" applyAlignment="1" applyProtection="1">
      <protection locked="0"/>
    </xf>
    <xf numFmtId="0" fontId="4" fillId="5" borderId="26" xfId="6" applyFont="1" applyFill="1" applyBorder="1" applyAlignment="1" applyProtection="1">
      <alignment horizontal="center"/>
      <protection locked="0"/>
    </xf>
    <xf numFmtId="0" fontId="4" fillId="5" borderId="3" xfId="6" applyFont="1" applyFill="1" applyBorder="1" applyAlignment="1" applyProtection="1">
      <alignment horizontal="center"/>
      <protection locked="0"/>
    </xf>
    <xf numFmtId="4" fontId="4" fillId="3" borderId="4" xfId="7" applyNumberFormat="1" applyFont="1" applyBorder="1" applyAlignment="1" applyProtection="1">
      <protection hidden="1"/>
    </xf>
    <xf numFmtId="0" fontId="4" fillId="0" borderId="0" xfId="6" applyFont="1" applyBorder="1" applyAlignment="1" applyProtection="1">
      <protection locked="0"/>
    </xf>
    <xf numFmtId="0" fontId="4" fillId="0" borderId="4" xfId="6" applyFont="1" applyBorder="1" applyAlignment="1" applyProtection="1">
      <alignment horizontal="left" shrinkToFit="1"/>
      <protection locked="0"/>
    </xf>
    <xf numFmtId="0" fontId="4" fillId="0" borderId="4" xfId="6" applyFont="1" applyFill="1" applyBorder="1" applyAlignment="1" applyProtection="1">
      <alignment horizontal="center" shrinkToFit="1"/>
      <protection locked="0"/>
    </xf>
    <xf numFmtId="0" fontId="10" fillId="0" borderId="22" xfId="6" applyFont="1" applyBorder="1" applyAlignment="1" applyProtection="1">
      <alignment horizontal="center"/>
      <protection locked="0"/>
    </xf>
    <xf numFmtId="0" fontId="10" fillId="11" borderId="23" xfId="6" applyFont="1" applyFill="1" applyBorder="1" applyAlignment="1" applyProtection="1">
      <alignment horizontal="center"/>
      <protection locked="0"/>
    </xf>
    <xf numFmtId="0" fontId="10" fillId="0" borderId="24" xfId="6" applyFont="1" applyBorder="1" applyAlignment="1" applyProtection="1">
      <alignment shrinkToFit="1"/>
      <protection locked="0"/>
    </xf>
    <xf numFmtId="0" fontId="10" fillId="0" borderId="24" xfId="6" applyFont="1" applyBorder="1" applyAlignment="1" applyProtection="1">
      <alignment horizontal="center" shrinkToFit="1"/>
      <protection locked="0"/>
    </xf>
    <xf numFmtId="43" fontId="10" fillId="0" borderId="24" xfId="1" applyFont="1" applyBorder="1" applyAlignment="1" applyProtection="1">
      <alignment horizontal="center" shrinkToFit="1"/>
      <protection locked="0"/>
    </xf>
    <xf numFmtId="17" fontId="10" fillId="0" borderId="48" xfId="1" quotePrefix="1" applyNumberFormat="1" applyFont="1" applyBorder="1" applyAlignment="1" applyProtection="1">
      <alignment horizontal="center" shrinkToFit="1"/>
      <protection locked="0"/>
    </xf>
    <xf numFmtId="43" fontId="10" fillId="0" borderId="48" xfId="1" applyFont="1" applyBorder="1" applyAlignment="1" applyProtection="1">
      <alignment horizontal="center" shrinkToFit="1"/>
      <protection locked="0"/>
    </xf>
    <xf numFmtId="43" fontId="10" fillId="0" borderId="24" xfId="1" applyFont="1" applyBorder="1" applyAlignment="1" applyProtection="1">
      <alignment shrinkToFit="1"/>
      <protection locked="0"/>
    </xf>
    <xf numFmtId="164" fontId="4" fillId="5" borderId="48" xfId="1" applyNumberFormat="1" applyFont="1" applyFill="1" applyBorder="1" applyAlignment="1" applyProtection="1">
      <protection locked="0"/>
    </xf>
    <xf numFmtId="43" fontId="10" fillId="0" borderId="48" xfId="1" applyFont="1" applyBorder="1" applyAlignment="1" applyProtection="1">
      <alignment shrinkToFit="1"/>
      <protection locked="0"/>
    </xf>
    <xf numFmtId="164" fontId="4" fillId="5" borderId="24" xfId="1" applyNumberFormat="1" applyFont="1" applyFill="1" applyBorder="1" applyAlignment="1" applyProtection="1">
      <protection locked="0"/>
    </xf>
    <xf numFmtId="43" fontId="10" fillId="0" borderId="24" xfId="1" applyFont="1" applyBorder="1" applyAlignment="1" applyProtection="1">
      <alignment horizontal="right" wrapText="1" shrinkToFit="1"/>
      <protection locked="0"/>
    </xf>
    <xf numFmtId="4" fontId="10" fillId="3" borderId="24" xfId="7" applyNumberFormat="1" applyFont="1" applyBorder="1" applyAlignment="1" applyProtection="1">
      <protection hidden="1"/>
    </xf>
    <xf numFmtId="0" fontId="4" fillId="0" borderId="48" xfId="0" applyFont="1" applyBorder="1" applyAlignment="1" applyProtection="1">
      <alignment horizontal="center"/>
      <protection locked="0"/>
    </xf>
    <xf numFmtId="4" fontId="4" fillId="0" borderId="24" xfId="7" applyNumberFormat="1" applyFont="1" applyFill="1" applyBorder="1" applyAlignment="1" applyProtection="1">
      <alignment horizontal="center"/>
      <protection hidden="1"/>
    </xf>
    <xf numFmtId="4" fontId="10" fillId="11" borderId="49" xfId="7" applyNumberFormat="1" applyFont="1" applyFill="1" applyBorder="1" applyAlignment="1" applyProtection="1">
      <alignment horizontal="center"/>
      <protection hidden="1"/>
    </xf>
    <xf numFmtId="0" fontId="4" fillId="0" borderId="49" xfId="0" applyFont="1" applyBorder="1" applyProtection="1">
      <protection locked="0"/>
    </xf>
    <xf numFmtId="0" fontId="4" fillId="0" borderId="39" xfId="0" applyFont="1" applyBorder="1" applyProtection="1">
      <protection locked="0"/>
    </xf>
    <xf numFmtId="0" fontId="4" fillId="5" borderId="30" xfId="6" applyFont="1" applyFill="1" applyBorder="1" applyAlignment="1" applyProtection="1">
      <alignment horizontal="center"/>
      <protection locked="0"/>
    </xf>
    <xf numFmtId="0" fontId="4" fillId="5" borderId="31" xfId="6" applyFont="1" applyFill="1" applyBorder="1" applyAlignment="1" applyProtection="1">
      <alignment horizontal="center"/>
      <protection locked="0"/>
    </xf>
    <xf numFmtId="49" fontId="4" fillId="0" borderId="32" xfId="6" applyNumberFormat="1" applyFont="1" applyBorder="1" applyAlignment="1" applyProtection="1">
      <alignment horizontal="left" shrinkToFit="1"/>
      <protection locked="0"/>
    </xf>
    <xf numFmtId="49" fontId="4" fillId="0" borderId="32" xfId="6" applyNumberFormat="1" applyFont="1" applyBorder="1" applyAlignment="1" applyProtection="1">
      <alignment horizontal="center" shrinkToFit="1"/>
      <protection locked="0"/>
    </xf>
    <xf numFmtId="43" fontId="4" fillId="0" borderId="32" xfId="1" applyFont="1" applyBorder="1" applyAlignment="1" applyProtection="1">
      <alignment horizontal="center" shrinkToFit="1"/>
      <protection locked="0"/>
    </xf>
    <xf numFmtId="0" fontId="4" fillId="0" borderId="32" xfId="1" applyNumberFormat="1" applyFont="1" applyBorder="1" applyAlignment="1" applyProtection="1">
      <alignment horizontal="center" shrinkToFit="1"/>
      <protection locked="0"/>
    </xf>
    <xf numFmtId="43" fontId="4" fillId="0" borderId="32" xfId="1" applyFont="1" applyBorder="1" applyAlignment="1" applyProtection="1">
      <alignment horizontal="left" shrinkToFit="1"/>
      <protection locked="0"/>
    </xf>
    <xf numFmtId="4" fontId="4" fillId="0" borderId="32" xfId="1" applyNumberFormat="1" applyFont="1" applyBorder="1" applyAlignment="1" applyProtection="1">
      <protection locked="0"/>
    </xf>
    <xf numFmtId="4" fontId="4" fillId="3" borderId="32" xfId="7" applyNumberFormat="1" applyFont="1" applyBorder="1" applyAlignment="1" applyProtection="1">
      <protection hidden="1"/>
    </xf>
    <xf numFmtId="14" fontId="4" fillId="0" borderId="32" xfId="0" applyNumberFormat="1" applyFont="1" applyBorder="1" applyAlignment="1" applyProtection="1">
      <alignment horizontal="center"/>
      <protection locked="0"/>
    </xf>
    <xf numFmtId="4" fontId="4" fillId="11" borderId="32" xfId="7" applyNumberFormat="1" applyFont="1" applyFill="1" applyBorder="1" applyAlignment="1" applyProtection="1">
      <alignment horizontal="center"/>
      <protection hidden="1"/>
    </xf>
    <xf numFmtId="4" fontId="4" fillId="11" borderId="50" xfId="7" applyNumberFormat="1" applyFont="1" applyFill="1" applyBorder="1" applyAlignment="1" applyProtection="1">
      <alignment horizontal="center"/>
      <protection hidden="1"/>
    </xf>
    <xf numFmtId="14" fontId="4" fillId="0" borderId="50" xfId="0" applyNumberFormat="1" applyFont="1" applyBorder="1" applyProtection="1">
      <protection locked="0"/>
    </xf>
    <xf numFmtId="0" fontId="53" fillId="14" borderId="24" xfId="0" applyFont="1" applyFill="1" applyBorder="1" applyAlignment="1">
      <alignment horizontal="center" vertical="center" wrapText="1"/>
    </xf>
    <xf numFmtId="0" fontId="39" fillId="15" borderId="51" xfId="0" applyFont="1" applyFill="1" applyBorder="1" applyAlignment="1">
      <alignment horizontal="center" vertical="center" wrapText="1"/>
    </xf>
    <xf numFmtId="0" fontId="39" fillId="14" borderId="51" xfId="0" applyFont="1" applyFill="1" applyBorder="1" applyAlignment="1">
      <alignment horizontal="center" vertical="center" wrapText="1"/>
    </xf>
    <xf numFmtId="0" fontId="40" fillId="5" borderId="30" xfId="6" applyFont="1" applyFill="1" applyBorder="1" applyAlignment="1" applyProtection="1">
      <alignment horizontal="center"/>
      <protection locked="0"/>
    </xf>
    <xf numFmtId="0" fontId="40" fillId="5" borderId="31" xfId="6" applyFont="1" applyFill="1" applyBorder="1" applyAlignment="1" applyProtection="1">
      <alignment horizontal="center"/>
      <protection locked="0"/>
    </xf>
    <xf numFmtId="49" fontId="36" fillId="0" borderId="32" xfId="6" applyNumberFormat="1" applyFont="1" applyBorder="1" applyAlignment="1" applyProtection="1">
      <alignment horizontal="left" shrinkToFit="1"/>
      <protection locked="0"/>
    </xf>
    <xf numFmtId="0" fontId="10" fillId="0" borderId="32" xfId="1" applyNumberFormat="1" applyFont="1" applyBorder="1" applyAlignment="1" applyProtection="1">
      <alignment horizontal="center" shrinkToFit="1"/>
      <protection locked="0"/>
    </xf>
    <xf numFmtId="4" fontId="10" fillId="3" borderId="32" xfId="7" applyNumberFormat="1" applyFont="1" applyBorder="1" applyAlignment="1" applyProtection="1">
      <protection hidden="1"/>
    </xf>
    <xf numFmtId="4" fontId="10" fillId="11" borderId="32" xfId="7" applyNumberFormat="1" applyFont="1" applyFill="1" applyBorder="1" applyAlignment="1" applyProtection="1">
      <alignment horizontal="center"/>
      <protection hidden="1"/>
    </xf>
    <xf numFmtId="4" fontId="10" fillId="11" borderId="50" xfId="7" applyNumberFormat="1" applyFont="1" applyFill="1" applyBorder="1" applyAlignment="1" applyProtection="1">
      <alignment horizontal="center"/>
      <protection hidden="1"/>
    </xf>
    <xf numFmtId="0" fontId="10" fillId="0" borderId="52" xfId="6" applyFont="1" applyBorder="1" applyAlignment="1" applyProtection="1">
      <alignment horizontal="center"/>
      <protection locked="0"/>
    </xf>
    <xf numFmtId="0" fontId="10" fillId="0" borderId="53" xfId="6" applyFont="1" applyBorder="1" applyAlignment="1" applyProtection="1">
      <alignment horizontal="center"/>
      <protection locked="0"/>
    </xf>
    <xf numFmtId="0" fontId="10" fillId="0" borderId="54" xfId="6" applyFont="1" applyBorder="1" applyAlignment="1" applyProtection="1">
      <alignment shrinkToFit="1"/>
      <protection locked="0"/>
    </xf>
    <xf numFmtId="43" fontId="10" fillId="0" borderId="54" xfId="1" applyFont="1" applyBorder="1" applyAlignment="1" applyProtection="1">
      <alignment horizontal="center" shrinkToFit="1"/>
      <protection locked="0"/>
    </xf>
    <xf numFmtId="17" fontId="10" fillId="0" borderId="54" xfId="1" applyNumberFormat="1" applyFont="1" applyBorder="1" applyAlignment="1" applyProtection="1">
      <alignment horizontal="center" shrinkToFit="1"/>
      <protection locked="0"/>
    </xf>
    <xf numFmtId="43" fontId="10" fillId="0" borderId="4" xfId="1" applyFont="1" applyBorder="1" applyAlignment="1" applyProtection="1">
      <alignment shrinkToFit="1"/>
      <protection locked="0"/>
    </xf>
    <xf numFmtId="43" fontId="10" fillId="0" borderId="54" xfId="1" applyFont="1" applyFill="1" applyBorder="1" applyAlignment="1" applyProtection="1">
      <alignment horizontal="center" shrinkToFit="1"/>
      <protection locked="0"/>
    </xf>
    <xf numFmtId="164" fontId="4" fillId="5" borderId="54" xfId="1" applyNumberFormat="1" applyFont="1" applyFill="1" applyBorder="1" applyAlignment="1" applyProtection="1">
      <protection locked="0"/>
    </xf>
    <xf numFmtId="43" fontId="10" fillId="0" borderId="54" xfId="1" applyFont="1" applyBorder="1" applyAlignment="1" applyProtection="1">
      <alignment shrinkToFit="1"/>
      <protection locked="0"/>
    </xf>
    <xf numFmtId="43" fontId="10" fillId="0" borderId="4" xfId="1" applyFont="1" applyBorder="1" applyAlignment="1" applyProtection="1">
      <alignment horizontal="right" wrapText="1" shrinkToFit="1"/>
      <protection locked="0"/>
    </xf>
    <xf numFmtId="0" fontId="4" fillId="0" borderId="54" xfId="0" applyFont="1" applyBorder="1" applyAlignment="1" applyProtection="1">
      <alignment horizontal="center"/>
      <protection locked="0"/>
    </xf>
    <xf numFmtId="4" fontId="10" fillId="11" borderId="54" xfId="7" applyNumberFormat="1" applyFont="1" applyFill="1" applyBorder="1" applyAlignment="1" applyProtection="1">
      <alignment horizontal="center"/>
      <protection hidden="1"/>
    </xf>
    <xf numFmtId="0" fontId="4" fillId="0" borderId="55" xfId="0" applyFont="1" applyBorder="1" applyAlignment="1" applyProtection="1">
      <alignment horizontal="center"/>
      <protection locked="0"/>
    </xf>
    <xf numFmtId="0" fontId="4" fillId="0" borderId="56" xfId="6" applyFont="1" applyBorder="1" applyAlignment="1" applyProtection="1">
      <alignment horizontal="center"/>
      <protection locked="0"/>
    </xf>
    <xf numFmtId="0" fontId="4" fillId="0" borderId="57" xfId="6" applyFont="1" applyBorder="1" applyAlignment="1" applyProtection="1">
      <alignment horizontal="center"/>
      <protection locked="0"/>
    </xf>
    <xf numFmtId="0" fontId="10" fillId="0" borderId="48" xfId="6" applyFont="1" applyBorder="1" applyAlignment="1" applyProtection="1">
      <alignment shrinkToFit="1"/>
      <protection locked="0"/>
    </xf>
    <xf numFmtId="0" fontId="4" fillId="0" borderId="58" xfId="0" applyFont="1" applyBorder="1" applyAlignment="1" applyProtection="1">
      <alignment horizontal="center"/>
      <protection locked="0"/>
    </xf>
    <xf numFmtId="0" fontId="4" fillId="0" borderId="38" xfId="0" applyFont="1" applyBorder="1" applyAlignment="1" applyProtection="1">
      <alignment horizontal="center"/>
      <protection locked="0"/>
    </xf>
    <xf numFmtId="0" fontId="36" fillId="0" borderId="32" xfId="6" applyFont="1" applyBorder="1" applyAlignment="1" applyProtection="1">
      <alignment horizontal="left" shrinkToFit="1"/>
      <protection locked="0"/>
    </xf>
    <xf numFmtId="0" fontId="4" fillId="0" borderId="32" xfId="6" applyFont="1" applyBorder="1" applyAlignment="1" applyProtection="1">
      <alignment horizontal="center" shrinkToFit="1"/>
      <protection locked="0"/>
    </xf>
    <xf numFmtId="0" fontId="10" fillId="0" borderId="32" xfId="6" applyFont="1" applyBorder="1" applyAlignment="1" applyProtection="1">
      <alignment horizontal="center" shrinkToFit="1"/>
      <protection locked="0"/>
    </xf>
    <xf numFmtId="43" fontId="10" fillId="0" borderId="32" xfId="1" applyFont="1" applyBorder="1" applyAlignment="1" applyProtection="1">
      <alignment horizontal="center" shrinkToFit="1"/>
      <protection locked="0"/>
    </xf>
    <xf numFmtId="4" fontId="10" fillId="0" borderId="32" xfId="1" applyNumberFormat="1" applyFont="1" applyBorder="1" applyAlignment="1" applyProtection="1">
      <protection locked="0"/>
    </xf>
    <xf numFmtId="14" fontId="4" fillId="0" borderId="50" xfId="0" applyNumberFormat="1" applyFont="1" applyBorder="1" applyAlignment="1" applyProtection="1">
      <alignment horizontal="center"/>
      <protection locked="0"/>
    </xf>
    <xf numFmtId="0" fontId="10" fillId="10" borderId="0" xfId="6" applyFont="1" applyFill="1" applyBorder="1" applyAlignment="1" applyProtection="1">
      <protection locked="0"/>
    </xf>
    <xf numFmtId="17" fontId="4" fillId="0" borderId="4" xfId="1" applyNumberFormat="1" applyFont="1" applyBorder="1" applyAlignment="1" applyProtection="1">
      <alignment horizontal="center" shrinkToFit="1"/>
      <protection locked="0"/>
    </xf>
    <xf numFmtId="0" fontId="30" fillId="0" borderId="46" xfId="10" applyFont="1" applyBorder="1" applyAlignment="1">
      <alignment horizontal="left"/>
    </xf>
    <xf numFmtId="9" fontId="30" fillId="0" borderId="44" xfId="9" applyFont="1" applyBorder="1" applyAlignment="1">
      <alignment horizontal="center"/>
    </xf>
    <xf numFmtId="0" fontId="30" fillId="0" borderId="51" xfId="12" applyFont="1" applyBorder="1" applyAlignment="1">
      <alignment horizontal="left"/>
    </xf>
    <xf numFmtId="43" fontId="46" fillId="0" borderId="63" xfId="1" applyFont="1" applyFill="1" applyBorder="1" applyAlignment="1" applyProtection="1">
      <alignment horizontal="center" vertical="center" shrinkToFit="1"/>
      <protection locked="0"/>
    </xf>
    <xf numFmtId="43" fontId="6" fillId="0" borderId="0" xfId="1" applyFont="1" applyProtection="1">
      <protection locked="0"/>
    </xf>
    <xf numFmtId="0" fontId="30" fillId="11" borderId="4" xfId="10" applyFont="1" applyFill="1" applyBorder="1" applyAlignment="1">
      <alignment vertical="top"/>
    </xf>
    <xf numFmtId="0" fontId="30" fillId="11" borderId="4" xfId="10" applyFont="1" applyFill="1" applyBorder="1" applyAlignment="1"/>
    <xf numFmtId="0" fontId="30" fillId="11" borderId="4" xfId="10" applyFont="1" applyFill="1" applyBorder="1" applyAlignment="1">
      <alignment horizontal="right"/>
    </xf>
    <xf numFmtId="0" fontId="13" fillId="5" borderId="4" xfId="10" applyFont="1" applyFill="1" applyBorder="1" applyAlignment="1">
      <alignment vertical="top" wrapText="1"/>
    </xf>
    <xf numFmtId="0" fontId="0" fillId="0" borderId="0" xfId="0" applyAlignment="1">
      <alignment horizontal="center"/>
    </xf>
    <xf numFmtId="0" fontId="3" fillId="0" borderId="46" xfId="0" applyFont="1" applyBorder="1"/>
    <xf numFmtId="0" fontId="43" fillId="0" borderId="46" xfId="0" applyFont="1" applyBorder="1"/>
    <xf numFmtId="0" fontId="0" fillId="0" borderId="46" xfId="0" applyBorder="1"/>
    <xf numFmtId="0" fontId="0" fillId="25" borderId="46" xfId="0" applyFill="1" applyBorder="1"/>
    <xf numFmtId="0" fontId="42" fillId="16" borderId="67" xfId="0" applyFont="1" applyFill="1" applyBorder="1" applyAlignment="1">
      <alignment horizontal="center" vertical="top" wrapText="1"/>
    </xf>
    <xf numFmtId="0" fontId="13" fillId="0" borderId="0" xfId="12" applyFont="1" applyAlignment="1">
      <alignment vertical="top"/>
    </xf>
    <xf numFmtId="0" fontId="13" fillId="0" borderId="0" xfId="12" applyFont="1" applyAlignment="1">
      <alignment vertical="center"/>
    </xf>
    <xf numFmtId="9" fontId="30" fillId="0" borderId="44" xfId="9" applyFont="1" applyFill="1" applyBorder="1" applyAlignment="1">
      <alignment horizontal="center"/>
    </xf>
    <xf numFmtId="0" fontId="22" fillId="0" borderId="46" xfId="10" applyFont="1" applyBorder="1" applyAlignment="1"/>
    <xf numFmtId="0" fontId="56" fillId="28" borderId="46" xfId="10" applyFont="1" applyFill="1" applyBorder="1" applyAlignment="1">
      <alignment horizontal="center" vertical="center"/>
    </xf>
    <xf numFmtId="43" fontId="28" fillId="0" borderId="0" xfId="11" applyFont="1" applyFill="1" applyBorder="1" applyAlignment="1">
      <alignment horizontal="center" vertical="center" wrapText="1"/>
    </xf>
    <xf numFmtId="164" fontId="57" fillId="0" borderId="46" xfId="10" applyNumberFormat="1" applyFont="1" applyBorder="1" applyAlignment="1"/>
    <xf numFmtId="49" fontId="58" fillId="0" borderId="46" xfId="10" applyNumberFormat="1" applyFont="1" applyBorder="1" applyAlignment="1"/>
    <xf numFmtId="0" fontId="57" fillId="0" borderId="46" xfId="10" applyFont="1" applyBorder="1" applyAlignment="1"/>
    <xf numFmtId="164" fontId="58" fillId="0" borderId="46" xfId="10" applyNumberFormat="1" applyFont="1" applyBorder="1" applyAlignment="1"/>
    <xf numFmtId="0" fontId="22" fillId="23" borderId="46" xfId="10" applyFont="1" applyFill="1" applyBorder="1" applyAlignment="1">
      <alignment vertical="center"/>
    </xf>
    <xf numFmtId="0" fontId="22" fillId="23" borderId="46" xfId="10" applyFont="1" applyFill="1" applyBorder="1" applyAlignment="1">
      <alignment horizontal="center" vertical="center"/>
    </xf>
    <xf numFmtId="0" fontId="22" fillId="29" borderId="17" xfId="10" applyFont="1" applyFill="1" applyBorder="1" applyAlignment="1"/>
    <xf numFmtId="43" fontId="28" fillId="11" borderId="0" xfId="11" applyFont="1" applyFill="1" applyBorder="1" applyAlignment="1">
      <alignment horizontal="center" vertical="center" wrapText="1"/>
    </xf>
    <xf numFmtId="43" fontId="30" fillId="11" borderId="0" xfId="11" applyFont="1" applyFill="1" applyBorder="1" applyAlignment="1">
      <alignment horizontal="left"/>
    </xf>
    <xf numFmtId="43" fontId="30" fillId="11" borderId="0" xfId="11" applyFont="1" applyFill="1" applyBorder="1" applyAlignment="1"/>
    <xf numFmtId="164" fontId="22" fillId="11" borderId="0" xfId="10" applyNumberFormat="1" applyFont="1" applyFill="1" applyAlignment="1"/>
    <xf numFmtId="43" fontId="22" fillId="11" borderId="0" xfId="10" applyNumberFormat="1" applyFont="1" applyFill="1" applyAlignment="1"/>
    <xf numFmtId="0" fontId="22" fillId="11" borderId="0" xfId="10" applyFont="1" applyFill="1" applyAlignment="1"/>
    <xf numFmtId="0" fontId="37" fillId="11" borderId="0" xfId="10" applyFont="1" applyFill="1" applyAlignment="1">
      <alignment horizontal="left"/>
    </xf>
    <xf numFmtId="0" fontId="37" fillId="11" borderId="0" xfId="10" applyFont="1" applyFill="1"/>
    <xf numFmtId="43" fontId="37" fillId="11" borderId="0" xfId="11" applyFont="1" applyFill="1"/>
    <xf numFmtId="43" fontId="49" fillId="11" borderId="0" xfId="11" applyFont="1" applyFill="1" applyAlignment="1">
      <alignment horizontal="right"/>
    </xf>
    <xf numFmtId="43" fontId="28" fillId="11" borderId="0" xfId="11" applyFont="1" applyFill="1" applyAlignment="1"/>
    <xf numFmtId="0" fontId="28" fillId="11" borderId="0" xfId="10" applyFont="1" applyFill="1" applyAlignment="1"/>
    <xf numFmtId="0" fontId="13" fillId="11" borderId="0" xfId="12" applyFont="1" applyFill="1"/>
    <xf numFmtId="0" fontId="22" fillId="11" borderId="0" xfId="12" applyFont="1" applyFill="1"/>
    <xf numFmtId="0" fontId="8" fillId="11" borderId="0" xfId="12" applyFont="1" applyFill="1" applyAlignment="1">
      <alignment horizontal="center"/>
    </xf>
    <xf numFmtId="0" fontId="8" fillId="11" borderId="0" xfId="12" applyFont="1" applyFill="1"/>
    <xf numFmtId="43" fontId="13" fillId="11" borderId="0" xfId="11" applyFont="1" applyFill="1" applyBorder="1" applyAlignment="1"/>
    <xf numFmtId="43" fontId="22" fillId="11" borderId="0" xfId="11" applyFont="1" applyFill="1" applyBorder="1" applyAlignment="1"/>
    <xf numFmtId="43" fontId="22" fillId="11" borderId="0" xfId="11" applyFont="1" applyFill="1" applyAlignment="1"/>
    <xf numFmtId="0" fontId="30" fillId="11" borderId="0" xfId="12" applyFont="1" applyFill="1"/>
    <xf numFmtId="0" fontId="6" fillId="11" borderId="0" xfId="12" applyFont="1" applyFill="1"/>
    <xf numFmtId="43" fontId="30" fillId="11" borderId="0" xfId="9" applyNumberFormat="1" applyFont="1" applyFill="1" applyAlignment="1"/>
    <xf numFmtId="0" fontId="30" fillId="11" borderId="46" xfId="12" applyFont="1" applyFill="1" applyBorder="1"/>
    <xf numFmtId="9" fontId="30" fillId="11" borderId="46" xfId="9" applyFont="1" applyFill="1" applyBorder="1" applyAlignment="1">
      <alignment horizontal="center"/>
    </xf>
    <xf numFmtId="164" fontId="26" fillId="11" borderId="0" xfId="10" applyNumberFormat="1" applyFont="1" applyFill="1" applyAlignment="1"/>
    <xf numFmtId="0" fontId="22" fillId="31" borderId="0" xfId="10" applyFont="1" applyFill="1" applyAlignment="1"/>
    <xf numFmtId="164" fontId="25" fillId="11" borderId="0" xfId="10" applyNumberFormat="1" applyFont="1" applyFill="1" applyAlignment="1"/>
    <xf numFmtId="0" fontId="22" fillId="11" borderId="17" xfId="10" applyFont="1" applyFill="1" applyBorder="1" applyAlignment="1"/>
    <xf numFmtId="0" fontId="22" fillId="11" borderId="0" xfId="10" applyFont="1" applyFill="1" applyBorder="1" applyAlignment="1"/>
    <xf numFmtId="0" fontId="22" fillId="11" borderId="0" xfId="10" applyFont="1" applyFill="1"/>
    <xf numFmtId="0" fontId="42" fillId="16" borderId="76" xfId="0" applyFont="1" applyFill="1" applyBorder="1" applyAlignment="1">
      <alignment horizontal="center" vertical="top" wrapText="1"/>
    </xf>
    <xf numFmtId="0" fontId="43" fillId="0" borderId="12" xfId="0" applyFont="1" applyBorder="1"/>
    <xf numFmtId="43" fontId="46" fillId="0" borderId="4" xfId="1" applyFont="1" applyFill="1" applyBorder="1" applyAlignment="1" applyProtection="1">
      <alignment horizontal="center" vertical="center" shrinkToFit="1"/>
      <protection locked="0"/>
    </xf>
    <xf numFmtId="43" fontId="45" fillId="0" borderId="65" xfId="1" applyFont="1" applyFill="1" applyBorder="1" applyAlignment="1">
      <alignment horizontal="center"/>
    </xf>
    <xf numFmtId="43" fontId="46" fillId="0" borderId="3" xfId="1" applyFont="1" applyFill="1" applyBorder="1" applyAlignment="1" applyProtection="1">
      <alignment horizontal="center" vertical="center" shrinkToFit="1"/>
      <protection locked="0"/>
    </xf>
    <xf numFmtId="43" fontId="45" fillId="0" borderId="74" xfId="1" applyFont="1" applyFill="1" applyBorder="1" applyAlignment="1">
      <alignment horizontal="center"/>
    </xf>
    <xf numFmtId="43" fontId="45" fillId="0" borderId="66" xfId="1" applyFont="1" applyFill="1" applyBorder="1" applyAlignment="1">
      <alignment horizontal="center"/>
    </xf>
    <xf numFmtId="43" fontId="46" fillId="0" borderId="74" xfId="1" applyFont="1" applyFill="1" applyBorder="1" applyAlignment="1" applyProtection="1">
      <alignment vertical="center" shrinkToFit="1"/>
      <protection locked="0"/>
    </xf>
    <xf numFmtId="43" fontId="46" fillId="0" borderId="26" xfId="1" applyFont="1" applyFill="1" applyBorder="1" applyAlignment="1" applyProtection="1">
      <alignment horizontal="center" vertical="center" shrinkToFit="1"/>
      <protection locked="0"/>
    </xf>
    <xf numFmtId="43" fontId="46" fillId="0" borderId="26" xfId="1" applyFont="1" applyFill="1" applyBorder="1" applyAlignment="1" applyProtection="1">
      <alignment horizontal="left" vertical="center" shrinkToFit="1"/>
      <protection locked="0"/>
    </xf>
    <xf numFmtId="43" fontId="46" fillId="32" borderId="62" xfId="1" applyFont="1" applyFill="1" applyBorder="1" applyAlignment="1" applyProtection="1">
      <alignment horizontal="center" vertical="center" shrinkToFit="1"/>
      <protection locked="0"/>
    </xf>
    <xf numFmtId="43" fontId="46" fillId="32" borderId="72" xfId="1" applyFont="1" applyFill="1" applyBorder="1" applyAlignment="1" applyProtection="1">
      <alignment vertical="center" shrinkToFit="1"/>
      <protection locked="0"/>
    </xf>
    <xf numFmtId="17" fontId="0" fillId="0" borderId="46" xfId="0" applyNumberFormat="1" applyBorder="1"/>
    <xf numFmtId="10" fontId="0" fillId="0" borderId="46" xfId="0" applyNumberFormat="1" applyBorder="1"/>
    <xf numFmtId="0" fontId="60" fillId="34" borderId="46" xfId="0" applyFont="1" applyFill="1" applyBorder="1" applyAlignment="1">
      <alignment vertical="top"/>
    </xf>
    <xf numFmtId="0" fontId="60" fillId="34" borderId="46" xfId="0" applyFont="1" applyFill="1" applyBorder="1" applyAlignment="1">
      <alignment vertical="center"/>
    </xf>
    <xf numFmtId="43" fontId="54" fillId="31" borderId="73" xfId="1" applyFont="1" applyFill="1" applyBorder="1" applyAlignment="1" applyProtection="1">
      <alignment vertical="center" shrinkToFit="1"/>
      <protection locked="0"/>
    </xf>
    <xf numFmtId="43" fontId="54" fillId="31" borderId="75" xfId="1" applyFont="1" applyFill="1" applyBorder="1" applyAlignment="1" applyProtection="1">
      <alignment vertical="center" shrinkToFit="1"/>
      <protection locked="0"/>
    </xf>
    <xf numFmtId="43" fontId="54" fillId="31" borderId="60" xfId="1" applyFont="1" applyFill="1" applyBorder="1" applyAlignment="1" applyProtection="1">
      <alignment horizontal="left" vertical="center" shrinkToFit="1"/>
      <protection locked="0"/>
    </xf>
    <xf numFmtId="43" fontId="6" fillId="31" borderId="71" xfId="1" applyFont="1" applyFill="1" applyBorder="1" applyAlignment="1" applyProtection="1">
      <alignment horizontal="center"/>
      <protection locked="0"/>
    </xf>
    <xf numFmtId="43" fontId="54" fillId="0" borderId="64" xfId="1" applyFont="1" applyFill="1" applyBorder="1" applyAlignment="1" applyProtection="1">
      <alignment vertical="center" shrinkToFit="1"/>
      <protection locked="0"/>
    </xf>
    <xf numFmtId="43" fontId="54" fillId="0" borderId="64" xfId="1" applyFont="1" applyFill="1" applyBorder="1" applyAlignment="1" applyProtection="1">
      <alignment vertical="center"/>
      <protection locked="0"/>
    </xf>
    <xf numFmtId="43" fontId="54" fillId="0" borderId="79" xfId="1" applyFont="1" applyFill="1" applyBorder="1" applyAlignment="1" applyProtection="1">
      <alignment horizontal="left" vertical="center" shrinkToFit="1"/>
      <protection locked="0"/>
    </xf>
    <xf numFmtId="1" fontId="62" fillId="0" borderId="66" xfId="1" applyNumberFormat="1" applyFont="1" applyFill="1" applyBorder="1" applyAlignment="1" applyProtection="1">
      <alignment horizontal="left" vertical="center" shrinkToFit="1"/>
      <protection locked="0"/>
    </xf>
    <xf numFmtId="1" fontId="62" fillId="0" borderId="4" xfId="1" applyNumberFormat="1" applyFont="1" applyFill="1" applyBorder="1" applyAlignment="1" applyProtection="1">
      <alignment horizontal="center" vertical="center" shrinkToFit="1"/>
      <protection locked="0"/>
    </xf>
    <xf numFmtId="43" fontId="62" fillId="0" borderId="65" xfId="1" applyFont="1" applyFill="1" applyBorder="1" applyAlignment="1">
      <alignment horizontal="center"/>
    </xf>
    <xf numFmtId="43" fontId="62" fillId="0" borderId="3" xfId="1" applyFont="1" applyFill="1" applyBorder="1" applyAlignment="1" applyProtection="1">
      <alignment horizontal="center" vertical="center" shrinkToFit="1"/>
      <protection locked="0"/>
    </xf>
    <xf numFmtId="43" fontId="62" fillId="0" borderId="0" xfId="1" applyFont="1" applyAlignment="1" applyProtection="1">
      <alignment horizontal="center"/>
      <protection locked="0"/>
    </xf>
    <xf numFmtId="43" fontId="62" fillId="0" borderId="66" xfId="1" applyFont="1" applyFill="1" applyBorder="1" applyAlignment="1">
      <alignment horizontal="center"/>
    </xf>
    <xf numFmtId="43" fontId="62" fillId="0" borderId="4" xfId="1" applyFont="1" applyFill="1" applyBorder="1" applyAlignment="1" applyProtection="1">
      <alignment horizontal="center" vertical="center" shrinkToFit="1"/>
      <protection locked="0"/>
    </xf>
    <xf numFmtId="43" fontId="61" fillId="0" borderId="0" xfId="1" applyFont="1" applyProtection="1">
      <protection locked="0"/>
    </xf>
    <xf numFmtId="43" fontId="63" fillId="33" borderId="77" xfId="1" applyFont="1" applyFill="1" applyBorder="1" applyAlignment="1" applyProtection="1">
      <alignment horizontal="center" vertical="top" wrapText="1"/>
      <protection locked="0"/>
    </xf>
    <xf numFmtId="43" fontId="63" fillId="33" borderId="60" xfId="1" applyFont="1" applyFill="1" applyBorder="1" applyAlignment="1" applyProtection="1">
      <alignment horizontal="center" vertical="top" wrapText="1"/>
      <protection locked="0"/>
    </xf>
    <xf numFmtId="43" fontId="2" fillId="11" borderId="0" xfId="1" applyFont="1" applyFill="1" applyBorder="1" applyAlignment="1" applyProtection="1">
      <alignment horizontal="centerContinuous"/>
      <protection locked="0"/>
    </xf>
    <xf numFmtId="43" fontId="6" fillId="11" borderId="0" xfId="1" applyFont="1" applyFill="1" applyAlignment="1" applyProtection="1">
      <alignment horizontal="centerContinuous" vertical="center"/>
      <protection locked="0"/>
    </xf>
    <xf numFmtId="43" fontId="6" fillId="11" borderId="0" xfId="1" applyFont="1" applyFill="1" applyAlignment="1" applyProtection="1">
      <alignment horizontal="center"/>
      <protection locked="0"/>
    </xf>
    <xf numFmtId="43" fontId="45" fillId="11" borderId="0" xfId="1" applyFont="1" applyFill="1" applyAlignment="1" applyProtection="1">
      <alignment horizontal="center"/>
      <protection locked="0"/>
    </xf>
    <xf numFmtId="9" fontId="45" fillId="11" borderId="0" xfId="1" applyNumberFormat="1" applyFont="1" applyFill="1" applyAlignment="1" applyProtection="1">
      <alignment horizontal="center"/>
      <protection locked="0"/>
    </xf>
    <xf numFmtId="9" fontId="59" fillId="11" borderId="0" xfId="1" applyNumberFormat="1" applyFont="1" applyFill="1" applyAlignment="1" applyProtection="1">
      <alignment horizontal="center"/>
      <protection locked="0"/>
    </xf>
    <xf numFmtId="0" fontId="30" fillId="0" borderId="80" xfId="10" applyFont="1" applyBorder="1" applyAlignment="1">
      <alignment horizontal="left"/>
    </xf>
    <xf numFmtId="0" fontId="30" fillId="5" borderId="24" xfId="10" applyFont="1" applyFill="1" applyBorder="1" applyAlignment="1">
      <alignment horizontal="center"/>
    </xf>
    <xf numFmtId="0" fontId="30" fillId="0" borderId="80" xfId="11" applyNumberFormat="1" applyFont="1" applyBorder="1" applyAlignment="1">
      <alignment horizontal="center"/>
    </xf>
    <xf numFmtId="43" fontId="30" fillId="0" borderId="80" xfId="11" applyFont="1" applyBorder="1" applyAlignment="1"/>
    <xf numFmtId="43" fontId="31" fillId="8" borderId="80" xfId="11" applyFont="1" applyFill="1" applyBorder="1" applyAlignment="1"/>
    <xf numFmtId="43" fontId="30" fillId="5" borderId="83" xfId="11" applyFont="1" applyFill="1" applyBorder="1" applyAlignment="1"/>
    <xf numFmtId="0" fontId="30" fillId="0" borderId="46" xfId="11" applyNumberFormat="1" applyFont="1" applyBorder="1" applyAlignment="1">
      <alignment horizontal="center"/>
    </xf>
    <xf numFmtId="43" fontId="30" fillId="0" borderId="46" xfId="11" applyFont="1" applyBorder="1" applyAlignment="1"/>
    <xf numFmtId="43" fontId="31" fillId="8" borderId="46" xfId="11" applyFont="1" applyFill="1" applyBorder="1" applyAlignment="1"/>
    <xf numFmtId="43" fontId="30" fillId="0" borderId="84" xfId="11" applyFont="1" applyFill="1" applyBorder="1" applyAlignment="1"/>
    <xf numFmtId="43" fontId="30" fillId="5" borderId="84" xfId="11" applyFont="1" applyFill="1" applyBorder="1" applyAlignment="1"/>
    <xf numFmtId="0" fontId="28" fillId="26" borderId="87" xfId="10" applyFont="1" applyFill="1" applyBorder="1" applyAlignment="1">
      <alignment horizontal="center" vertical="center"/>
    </xf>
    <xf numFmtId="43" fontId="29" fillId="26" borderId="87" xfId="11" applyFont="1" applyFill="1" applyBorder="1" applyAlignment="1">
      <alignment horizontal="center" vertical="center" wrapText="1"/>
    </xf>
    <xf numFmtId="43" fontId="29" fillId="26" borderId="87" xfId="11" applyFont="1" applyFill="1" applyBorder="1" applyAlignment="1">
      <alignment horizontal="center" vertical="center"/>
    </xf>
    <xf numFmtId="43" fontId="28" fillId="26" borderId="88" xfId="11" applyFont="1" applyFill="1" applyBorder="1" applyAlignment="1">
      <alignment horizontal="center" vertical="center" wrapText="1"/>
    </xf>
    <xf numFmtId="0" fontId="27" fillId="5" borderId="22" xfId="10" applyFont="1" applyFill="1" applyBorder="1" applyAlignment="1">
      <alignment horizontal="center"/>
    </xf>
    <xf numFmtId="0" fontId="30" fillId="11" borderId="24" xfId="10" applyFont="1" applyFill="1" applyBorder="1" applyAlignment="1">
      <alignment vertical="top"/>
    </xf>
    <xf numFmtId="0" fontId="31" fillId="5" borderId="80" xfId="11" applyNumberFormat="1" applyFont="1" applyFill="1" applyBorder="1" applyAlignment="1">
      <alignment horizontal="center"/>
    </xf>
    <xf numFmtId="43" fontId="31" fillId="5" borderId="80" xfId="11" applyFont="1" applyFill="1" applyBorder="1" applyAlignment="1"/>
    <xf numFmtId="0" fontId="27" fillId="5" borderId="26" xfId="10" applyFont="1" applyFill="1" applyBorder="1" applyAlignment="1">
      <alignment horizontal="center"/>
    </xf>
    <xf numFmtId="0" fontId="31" fillId="5" borderId="46" xfId="11" applyNumberFormat="1" applyFont="1" applyFill="1" applyBorder="1" applyAlignment="1">
      <alignment horizontal="center"/>
    </xf>
    <xf numFmtId="43" fontId="31" fillId="5" borderId="46" xfId="11" applyFont="1" applyFill="1" applyBorder="1" applyAlignment="1"/>
    <xf numFmtId="0" fontId="33" fillId="6" borderId="89" xfId="10" applyFont="1" applyFill="1" applyBorder="1" applyAlignment="1"/>
    <xf numFmtId="0" fontId="34" fillId="6" borderId="90" xfId="10" applyFont="1" applyFill="1" applyBorder="1" applyAlignment="1">
      <alignment horizontal="center"/>
    </xf>
    <xf numFmtId="0" fontId="35" fillId="6" borderId="90" xfId="11" applyNumberFormat="1" applyFont="1" applyFill="1" applyBorder="1" applyAlignment="1">
      <alignment horizontal="center"/>
    </xf>
    <xf numFmtId="43" fontId="35" fillId="6" borderId="91" xfId="11" applyFont="1" applyFill="1" applyBorder="1" applyAlignment="1"/>
    <xf numFmtId="43" fontId="34" fillId="10" borderId="92" xfId="11" applyFont="1" applyFill="1" applyBorder="1" applyAlignment="1"/>
    <xf numFmtId="43" fontId="13" fillId="0" borderId="80" xfId="11" applyFont="1" applyBorder="1" applyAlignment="1"/>
    <xf numFmtId="43" fontId="28" fillId="30" borderId="0" xfId="11" applyFont="1" applyFill="1" applyBorder="1" applyAlignment="1">
      <alignment horizontal="left"/>
    </xf>
    <xf numFmtId="0" fontId="30" fillId="0" borderId="22" xfId="12" applyFont="1" applyBorder="1" applyAlignment="1">
      <alignment horizontal="left"/>
    </xf>
    <xf numFmtId="9" fontId="30" fillId="0" borderId="97" xfId="9" applyFont="1" applyBorder="1" applyAlignment="1">
      <alignment horizontal="center"/>
    </xf>
    <xf numFmtId="0" fontId="32" fillId="0" borderId="80" xfId="12" applyFont="1" applyBorder="1"/>
    <xf numFmtId="43" fontId="13" fillId="0" borderId="80" xfId="9" applyNumberFormat="1" applyFont="1" applyBorder="1" applyAlignment="1">
      <alignment horizontal="center"/>
    </xf>
    <xf numFmtId="43" fontId="13" fillId="0" borderId="80" xfId="11" applyFont="1" applyFill="1" applyBorder="1" applyAlignment="1"/>
    <xf numFmtId="164" fontId="13" fillId="0" borderId="80" xfId="12" applyNumberFormat="1" applyFont="1" applyBorder="1" applyAlignment="1">
      <alignment horizontal="center"/>
    </xf>
    <xf numFmtId="43" fontId="13" fillId="18" borderId="80" xfId="1" applyFont="1" applyFill="1" applyBorder="1" applyAlignment="1"/>
    <xf numFmtId="0" fontId="13" fillId="0" borderId="80" xfId="12" applyFont="1" applyBorder="1" applyAlignment="1">
      <alignment horizontal="center"/>
    </xf>
    <xf numFmtId="9" fontId="13" fillId="0" borderId="83" xfId="9" applyFont="1" applyBorder="1" applyAlignment="1">
      <alignment horizontal="center"/>
    </xf>
    <xf numFmtId="0" fontId="30" fillId="0" borderId="26" xfId="12" applyFont="1" applyBorder="1" applyAlignment="1">
      <alignment horizontal="left"/>
    </xf>
    <xf numFmtId="43" fontId="13" fillId="18" borderId="46" xfId="1" applyFont="1" applyFill="1" applyBorder="1" applyAlignment="1"/>
    <xf numFmtId="9" fontId="13" fillId="0" borderId="84" xfId="9" applyFont="1" applyBorder="1" applyAlignment="1">
      <alignment horizontal="center"/>
    </xf>
    <xf numFmtId="9" fontId="13" fillId="0" borderId="84" xfId="9" applyFont="1" applyFill="1" applyBorder="1" applyAlignment="1">
      <alignment horizontal="center"/>
    </xf>
    <xf numFmtId="0" fontId="30" fillId="0" borderId="99" xfId="12" applyFont="1" applyBorder="1" applyAlignment="1">
      <alignment horizontal="left"/>
    </xf>
    <xf numFmtId="9" fontId="30" fillId="0" borderId="80" xfId="9" applyFont="1" applyBorder="1" applyAlignment="1">
      <alignment horizontal="center"/>
    </xf>
    <xf numFmtId="43" fontId="13" fillId="0" borderId="80" xfId="12" applyNumberFormat="1" applyFont="1" applyBorder="1" applyAlignment="1">
      <alignment horizontal="center"/>
    </xf>
    <xf numFmtId="0" fontId="13" fillId="0" borderId="83" xfId="12" applyFont="1" applyBorder="1" applyAlignment="1">
      <alignment horizontal="center"/>
    </xf>
    <xf numFmtId="0" fontId="30" fillId="0" borderId="100" xfId="12" applyFont="1" applyBorder="1" applyAlignment="1">
      <alignment horizontal="left"/>
    </xf>
    <xf numFmtId="0" fontId="13" fillId="0" borderId="84" xfId="12" applyFont="1" applyBorder="1" applyAlignment="1">
      <alignment horizontal="center"/>
    </xf>
    <xf numFmtId="43" fontId="22" fillId="11" borderId="101" xfId="11" applyFont="1" applyFill="1" applyBorder="1" applyAlignment="1"/>
    <xf numFmtId="9" fontId="30" fillId="11" borderId="80" xfId="9" applyFont="1" applyFill="1" applyBorder="1" applyAlignment="1">
      <alignment horizontal="center"/>
    </xf>
    <xf numFmtId="0" fontId="30" fillId="11" borderId="80" xfId="12" applyFont="1" applyFill="1" applyBorder="1"/>
    <xf numFmtId="43" fontId="30" fillId="11" borderId="80" xfId="11" applyFont="1" applyFill="1" applyBorder="1" applyAlignment="1"/>
    <xf numFmtId="43" fontId="30" fillId="11" borderId="83" xfId="11" applyFont="1" applyFill="1" applyBorder="1" applyAlignment="1"/>
    <xf numFmtId="0" fontId="30" fillId="11" borderId="100" xfId="12" applyFont="1" applyFill="1" applyBorder="1" applyAlignment="1">
      <alignment horizontal="left"/>
    </xf>
    <xf numFmtId="43" fontId="30" fillId="11" borderId="46" xfId="11" applyFont="1" applyFill="1" applyBorder="1" applyAlignment="1"/>
    <xf numFmtId="43" fontId="30" fillId="11" borderId="84" xfId="11" applyFont="1" applyFill="1" applyBorder="1" applyAlignment="1"/>
    <xf numFmtId="0" fontId="30" fillId="11" borderId="96" xfId="12" applyFont="1" applyFill="1" applyBorder="1" applyAlignment="1">
      <alignment horizontal="left"/>
    </xf>
    <xf numFmtId="9" fontId="30" fillId="11" borderId="85" xfId="9" applyFont="1" applyFill="1" applyBorder="1" applyAlignment="1">
      <alignment horizontal="center"/>
    </xf>
    <xf numFmtId="0" fontId="30" fillId="11" borderId="85" xfId="12" applyFont="1" applyFill="1" applyBorder="1"/>
    <xf numFmtId="43" fontId="30" fillId="11" borderId="85" xfId="11" applyFont="1" applyFill="1" applyBorder="1" applyAlignment="1"/>
    <xf numFmtId="43" fontId="30" fillId="11" borderId="86" xfId="11" applyFont="1" applyFill="1" applyBorder="1" applyAlignment="1"/>
    <xf numFmtId="9" fontId="30" fillId="11" borderId="44" xfId="9" applyFont="1" applyFill="1" applyBorder="1" applyAlignment="1">
      <alignment horizontal="center"/>
    </xf>
    <xf numFmtId="0" fontId="30" fillId="11" borderId="102" xfId="12" applyFont="1" applyFill="1" applyBorder="1" applyAlignment="1">
      <alignment horizontal="left"/>
    </xf>
    <xf numFmtId="9" fontId="30" fillId="11" borderId="20" xfId="9" applyFont="1" applyFill="1" applyBorder="1" applyAlignment="1">
      <alignment horizontal="center"/>
    </xf>
    <xf numFmtId="0" fontId="30" fillId="11" borderId="20" xfId="12" applyFont="1" applyFill="1" applyBorder="1"/>
    <xf numFmtId="43" fontId="30" fillId="11" borderId="20" xfId="11" applyFont="1" applyFill="1" applyBorder="1" applyAlignment="1"/>
    <xf numFmtId="43" fontId="30" fillId="11" borderId="103" xfId="11" applyFont="1" applyFill="1" applyBorder="1" applyAlignment="1"/>
    <xf numFmtId="0" fontId="30" fillId="11" borderId="22" xfId="12" applyFont="1" applyFill="1" applyBorder="1" applyAlignment="1">
      <alignment horizontal="left"/>
    </xf>
    <xf numFmtId="9" fontId="30" fillId="11" borderId="97" xfId="9" applyFont="1" applyFill="1" applyBorder="1" applyAlignment="1">
      <alignment horizontal="center"/>
    </xf>
    <xf numFmtId="0" fontId="30" fillId="11" borderId="26" xfId="12" applyFont="1" applyFill="1" applyBorder="1" applyAlignment="1">
      <alignment horizontal="left"/>
    </xf>
    <xf numFmtId="0" fontId="30" fillId="11" borderId="30" xfId="12" applyFont="1" applyFill="1" applyBorder="1" applyAlignment="1">
      <alignment horizontal="left"/>
    </xf>
    <xf numFmtId="9" fontId="30" fillId="11" borderId="98" xfId="9" applyFont="1" applyFill="1" applyBorder="1" applyAlignment="1">
      <alignment horizontal="center"/>
    </xf>
    <xf numFmtId="0" fontId="37" fillId="31" borderId="104" xfId="12" applyFont="1" applyFill="1" applyBorder="1"/>
    <xf numFmtId="0" fontId="37" fillId="31" borderId="105" xfId="12" applyFont="1" applyFill="1" applyBorder="1"/>
    <xf numFmtId="0" fontId="37" fillId="31" borderId="106" xfId="12" applyFont="1" applyFill="1" applyBorder="1"/>
    <xf numFmtId="0" fontId="28" fillId="31" borderId="96" xfId="12" applyFont="1" applyFill="1" applyBorder="1" applyAlignment="1">
      <alignment horizontal="center"/>
    </xf>
    <xf numFmtId="0" fontId="28" fillId="31" borderId="85" xfId="12" applyFont="1" applyFill="1" applyBorder="1" applyAlignment="1">
      <alignment horizontal="center"/>
    </xf>
    <xf numFmtId="43" fontId="28" fillId="31" borderId="85" xfId="11" applyFont="1" applyFill="1" applyBorder="1" applyAlignment="1">
      <alignment horizontal="center"/>
    </xf>
    <xf numFmtId="43" fontId="28" fillId="31" borderId="86" xfId="11" applyFont="1" applyFill="1" applyBorder="1" applyAlignment="1">
      <alignment horizontal="center"/>
    </xf>
    <xf numFmtId="0" fontId="64" fillId="11" borderId="0" xfId="3" applyFont="1" applyFill="1" applyBorder="1" applyAlignment="1" applyProtection="1">
      <alignment horizontal="centerContinuous"/>
      <protection locked="0"/>
    </xf>
    <xf numFmtId="43" fontId="64" fillId="11" borderId="0" xfId="1" applyFont="1" applyFill="1" applyBorder="1" applyAlignment="1" applyProtection="1">
      <alignment horizontal="centerContinuous"/>
      <protection locked="0"/>
    </xf>
    <xf numFmtId="0" fontId="64" fillId="11" borderId="0" xfId="1" applyNumberFormat="1" applyFont="1" applyFill="1" applyBorder="1" applyAlignment="1" applyProtection="1">
      <alignment horizontal="center"/>
      <protection locked="0"/>
    </xf>
    <xf numFmtId="0" fontId="66" fillId="0" borderId="0" xfId="0" applyFont="1" applyProtection="1">
      <protection locked="0"/>
    </xf>
    <xf numFmtId="0" fontId="67" fillId="11" borderId="0" xfId="4" applyFont="1" applyFill="1" applyAlignment="1" applyProtection="1">
      <alignment horizontal="centerContinuous" vertical="center"/>
      <protection locked="0"/>
    </xf>
    <xf numFmtId="0" fontId="67" fillId="11" borderId="0" xfId="4" applyNumberFormat="1" applyFont="1" applyFill="1" applyAlignment="1" applyProtection="1">
      <alignment horizontal="centerContinuous" vertical="center"/>
      <protection locked="0"/>
    </xf>
    <xf numFmtId="1" fontId="67" fillId="11" borderId="0" xfId="1" applyNumberFormat="1" applyFont="1" applyFill="1" applyAlignment="1" applyProtection="1">
      <alignment horizontal="centerContinuous" vertical="center"/>
      <protection locked="0"/>
    </xf>
    <xf numFmtId="0" fontId="67" fillId="11" borderId="0" xfId="1" applyNumberFormat="1" applyFont="1" applyFill="1" applyAlignment="1" applyProtection="1">
      <alignment horizontal="centerContinuous" vertical="center"/>
      <protection locked="0"/>
    </xf>
    <xf numFmtId="43" fontId="67" fillId="11" borderId="0" xfId="1" applyFont="1" applyFill="1" applyAlignment="1" applyProtection="1">
      <alignment horizontal="centerContinuous" vertical="center"/>
      <protection locked="0"/>
    </xf>
    <xf numFmtId="1" fontId="65" fillId="11" borderId="0" xfId="1" applyNumberFormat="1" applyFont="1" applyFill="1" applyAlignment="1" applyProtection="1">
      <alignment horizontal="centerContinuous" vertical="center"/>
      <protection locked="0"/>
    </xf>
    <xf numFmtId="0" fontId="67" fillId="11" borderId="0" xfId="1" applyNumberFormat="1" applyFont="1" applyFill="1" applyAlignment="1" applyProtection="1">
      <alignment horizontal="center" vertical="center"/>
      <protection locked="0"/>
    </xf>
    <xf numFmtId="0" fontId="67" fillId="11" borderId="0" xfId="0" applyFont="1" applyFill="1" applyProtection="1">
      <protection locked="0"/>
    </xf>
    <xf numFmtId="0" fontId="67" fillId="11" borderId="0" xfId="0" applyFont="1" applyFill="1" applyAlignment="1" applyProtection="1">
      <alignment horizontal="center"/>
      <protection locked="0"/>
    </xf>
    <xf numFmtId="1" fontId="67" fillId="11" borderId="0" xfId="1" applyNumberFormat="1" applyFont="1" applyFill="1" applyAlignment="1" applyProtection="1">
      <alignment horizontal="center"/>
      <protection locked="0"/>
    </xf>
    <xf numFmtId="0" fontId="67" fillId="11" borderId="0" xfId="1" applyNumberFormat="1" applyFont="1" applyFill="1" applyAlignment="1" applyProtection="1">
      <alignment horizontal="center"/>
      <protection locked="0"/>
    </xf>
    <xf numFmtId="43" fontId="67" fillId="11" borderId="0" xfId="1" applyFont="1" applyFill="1" applyAlignment="1" applyProtection="1">
      <alignment horizontal="center"/>
      <protection locked="0"/>
    </xf>
    <xf numFmtId="1" fontId="65" fillId="11" borderId="0" xfId="1" applyNumberFormat="1" applyFont="1" applyFill="1" applyAlignment="1" applyProtection="1">
      <alignment horizontal="center"/>
      <protection locked="0"/>
    </xf>
    <xf numFmtId="4" fontId="67" fillId="0" borderId="0" xfId="1" applyNumberFormat="1" applyFont="1" applyProtection="1">
      <protection locked="0"/>
    </xf>
    <xf numFmtId="0" fontId="66" fillId="0" borderId="0" xfId="1" applyNumberFormat="1" applyFont="1" applyAlignment="1" applyProtection="1">
      <alignment horizontal="center"/>
      <protection locked="0"/>
    </xf>
    <xf numFmtId="4" fontId="66" fillId="0" borderId="0" xfId="1" applyNumberFormat="1" applyFont="1" applyAlignment="1" applyProtection="1">
      <alignment horizontal="center"/>
      <protection locked="0"/>
    </xf>
    <xf numFmtId="0" fontId="67" fillId="11" borderId="0" xfId="0" applyFont="1" applyFill="1" applyAlignment="1" applyProtection="1">
      <alignment horizontal="left"/>
      <protection locked="0"/>
    </xf>
    <xf numFmtId="43" fontId="66" fillId="11" borderId="0" xfId="1" applyFont="1" applyFill="1" applyAlignment="1" applyProtection="1">
      <alignment horizontal="center"/>
      <protection locked="0"/>
    </xf>
    <xf numFmtId="9" fontId="66" fillId="11" borderId="0" xfId="1" applyNumberFormat="1" applyFont="1" applyFill="1" applyAlignment="1" applyProtection="1">
      <alignment horizontal="center"/>
      <protection locked="0"/>
    </xf>
    <xf numFmtId="9" fontId="67" fillId="11" borderId="0" xfId="1" applyNumberFormat="1" applyFont="1" applyFill="1" applyAlignment="1" applyProtection="1">
      <alignment horizontal="center"/>
      <protection locked="0"/>
    </xf>
    <xf numFmtId="43" fontId="69" fillId="33" borderId="80" xfId="1" applyFont="1" applyFill="1" applyBorder="1" applyAlignment="1" applyProtection="1">
      <alignment horizontal="center" vertical="top" wrapText="1"/>
      <protection locked="0"/>
    </xf>
    <xf numFmtId="4" fontId="71" fillId="12" borderId="4" xfId="8" applyNumberFormat="1" applyFont="1" applyFill="1" applyBorder="1" applyAlignment="1" applyProtection="1">
      <alignment horizontal="center" vertical="center" wrapText="1"/>
      <protection locked="0"/>
    </xf>
    <xf numFmtId="4" fontId="68" fillId="13" borderId="3" xfId="8" applyNumberFormat="1" applyFont="1" applyFill="1" applyBorder="1" applyAlignment="1" applyProtection="1">
      <alignment horizontal="center" vertical="center" wrapText="1"/>
      <protection hidden="1"/>
    </xf>
    <xf numFmtId="0" fontId="70" fillId="4" borderId="4" xfId="8" applyFont="1" applyBorder="1" applyAlignment="1" applyProtection="1">
      <alignment horizontal="center" vertical="center" wrapText="1"/>
      <protection locked="0"/>
    </xf>
    <xf numFmtId="0" fontId="73" fillId="21" borderId="21" xfId="0" applyFont="1" applyFill="1" applyBorder="1" applyAlignment="1">
      <alignment horizontal="center" vertical="center" wrapText="1"/>
    </xf>
    <xf numFmtId="0" fontId="66" fillId="0" borderId="0" xfId="0" applyFont="1" applyAlignment="1" applyProtection="1">
      <alignment horizontal="center" vertical="center" wrapText="1"/>
      <protection locked="0"/>
    </xf>
    <xf numFmtId="43" fontId="71" fillId="32" borderId="63" xfId="1" applyFont="1" applyFill="1" applyBorder="1" applyAlignment="1" applyProtection="1">
      <alignment horizontal="center" vertical="center" shrinkToFit="1"/>
      <protection locked="0"/>
    </xf>
    <xf numFmtId="43" fontId="72" fillId="31" borderId="63" xfId="1" applyFont="1" applyFill="1" applyBorder="1" applyAlignment="1" applyProtection="1">
      <alignment vertical="center" shrinkToFit="1"/>
      <protection locked="0"/>
    </xf>
    <xf numFmtId="43" fontId="71" fillId="24" borderId="63" xfId="1" applyFont="1" applyFill="1" applyBorder="1" applyAlignment="1" applyProtection="1">
      <alignment vertical="center"/>
      <protection locked="0"/>
    </xf>
    <xf numFmtId="43" fontId="67" fillId="23" borderId="62" xfId="1" applyFont="1" applyFill="1" applyBorder="1" applyProtection="1">
      <protection hidden="1"/>
    </xf>
    <xf numFmtId="0" fontId="66" fillId="0" borderId="63" xfId="0" applyFont="1" applyBorder="1" applyAlignment="1" applyProtection="1">
      <alignment horizontal="center"/>
      <protection locked="0"/>
    </xf>
    <xf numFmtId="4" fontId="71" fillId="0" borderId="63" xfId="7" applyNumberFormat="1" applyFont="1" applyFill="1" applyBorder="1" applyAlignment="1" applyProtection="1">
      <alignment horizontal="center"/>
      <protection hidden="1"/>
    </xf>
    <xf numFmtId="0" fontId="75" fillId="0" borderId="65" xfId="6" applyFont="1" applyFill="1" applyBorder="1" applyAlignment="1" applyProtection="1">
      <alignment horizontal="center" vertical="center"/>
      <protection locked="0"/>
    </xf>
    <xf numFmtId="0" fontId="75" fillId="0" borderId="66" xfId="6" applyFont="1" applyFill="1" applyBorder="1" applyAlignment="1" applyProtection="1">
      <alignment horizontal="center" vertical="center"/>
      <protection locked="0"/>
    </xf>
    <xf numFmtId="43" fontId="71" fillId="0" borderId="66" xfId="1" applyFont="1" applyFill="1" applyBorder="1" applyAlignment="1" applyProtection="1">
      <alignment horizontal="center" vertical="center" shrinkToFit="1"/>
      <protection locked="0"/>
    </xf>
    <xf numFmtId="0" fontId="71" fillId="0" borderId="66" xfId="1" applyNumberFormat="1" applyFont="1" applyFill="1" applyBorder="1" applyAlignment="1" applyProtection="1">
      <alignment horizontal="center" vertical="center" shrinkToFit="1"/>
      <protection locked="0"/>
    </xf>
    <xf numFmtId="0" fontId="71" fillId="0" borderId="74" xfId="1" applyNumberFormat="1" applyFont="1" applyFill="1" applyBorder="1" applyAlignment="1" applyProtection="1">
      <alignment horizontal="center" vertical="center" shrinkToFit="1"/>
      <protection locked="0"/>
    </xf>
    <xf numFmtId="1" fontId="74" fillId="0" borderId="66" xfId="1" applyNumberFormat="1" applyFont="1" applyFill="1" applyBorder="1" applyAlignment="1" applyProtection="1">
      <alignment horizontal="left" vertical="center" shrinkToFit="1"/>
      <protection locked="0"/>
    </xf>
    <xf numFmtId="43" fontId="76" fillId="0" borderId="66" xfId="1" applyFont="1" applyFill="1" applyBorder="1" applyAlignment="1" applyProtection="1">
      <alignment horizontal="center" vertical="center" shrinkToFit="1"/>
      <protection locked="0"/>
    </xf>
    <xf numFmtId="43" fontId="76" fillId="31" borderId="66" xfId="1" applyFont="1" applyFill="1" applyBorder="1" applyAlignment="1" applyProtection="1">
      <alignment vertical="center" shrinkToFit="1"/>
      <protection locked="0"/>
    </xf>
    <xf numFmtId="0" fontId="76" fillId="0" borderId="82" xfId="1" applyNumberFormat="1" applyFont="1" applyFill="1" applyBorder="1" applyAlignment="1" applyProtection="1">
      <alignment horizontal="center" vertical="center" shrinkToFit="1"/>
      <protection locked="0"/>
    </xf>
    <xf numFmtId="43" fontId="72" fillId="23" borderId="65" xfId="1" applyFont="1" applyFill="1" applyBorder="1" applyProtection="1">
      <protection hidden="1"/>
    </xf>
    <xf numFmtId="0" fontId="66" fillId="0" borderId="66" xfId="0" applyFont="1" applyBorder="1" applyAlignment="1" applyProtection="1">
      <alignment horizontal="center"/>
      <protection locked="0"/>
    </xf>
    <xf numFmtId="4" fontId="71" fillId="0" borderId="66" xfId="7" applyNumberFormat="1" applyFont="1" applyFill="1" applyBorder="1" applyAlignment="1" applyProtection="1">
      <alignment horizontal="center"/>
      <protection hidden="1"/>
    </xf>
    <xf numFmtId="43" fontId="71" fillId="0" borderId="66" xfId="6" applyNumberFormat="1" applyFont="1" applyFill="1" applyBorder="1" applyAlignment="1" applyProtection="1">
      <alignment horizontal="center" vertical="center" shrinkToFit="1"/>
      <protection locked="0"/>
    </xf>
    <xf numFmtId="43" fontId="72" fillId="31" borderId="66" xfId="1" applyFont="1" applyFill="1" applyBorder="1" applyAlignment="1" applyProtection="1">
      <alignment vertical="center" shrinkToFit="1"/>
      <protection locked="0"/>
    </xf>
    <xf numFmtId="0" fontId="71" fillId="0" borderId="82" xfId="1" applyNumberFormat="1" applyFont="1" applyFill="1" applyBorder="1" applyAlignment="1" applyProtection="1">
      <alignment horizontal="center" vertical="center" shrinkToFit="1"/>
      <protection locked="0"/>
    </xf>
    <xf numFmtId="0" fontId="75" fillId="0" borderId="3" xfId="6" applyFont="1" applyFill="1" applyBorder="1" applyAlignment="1" applyProtection="1">
      <alignment horizontal="center" vertical="center"/>
      <protection locked="0"/>
    </xf>
    <xf numFmtId="43" fontId="66" fillId="0" borderId="4" xfId="1" applyFont="1" applyFill="1" applyBorder="1" applyAlignment="1" applyProtection="1">
      <alignment horizontal="center" shrinkToFit="1"/>
      <protection locked="0"/>
    </xf>
    <xf numFmtId="0" fontId="71" fillId="0" borderId="4" xfId="1" applyNumberFormat="1" applyFont="1" applyFill="1" applyBorder="1" applyAlignment="1" applyProtection="1">
      <alignment horizontal="center" vertical="center" shrinkToFit="1"/>
      <protection locked="0"/>
    </xf>
    <xf numFmtId="1" fontId="71" fillId="0" borderId="4" xfId="1" applyNumberFormat="1" applyFont="1" applyFill="1" applyBorder="1" applyAlignment="1" applyProtection="1">
      <alignment horizontal="center" vertical="center" shrinkToFit="1"/>
      <protection locked="0"/>
    </xf>
    <xf numFmtId="0" fontId="71" fillId="0" borderId="26" xfId="1" applyNumberFormat="1" applyFont="1" applyFill="1" applyBorder="1" applyAlignment="1" applyProtection="1">
      <alignment horizontal="center" vertical="center" shrinkToFit="1"/>
      <protection locked="0"/>
    </xf>
    <xf numFmtId="43" fontId="71" fillId="0" borderId="4" xfId="1" applyFont="1" applyFill="1" applyBorder="1" applyAlignment="1" applyProtection="1">
      <alignment horizontal="center" vertical="center" shrinkToFit="1"/>
      <protection locked="0"/>
    </xf>
    <xf numFmtId="1" fontId="74" fillId="0" borderId="4" xfId="1" applyNumberFormat="1" applyFont="1" applyFill="1" applyBorder="1" applyAlignment="1" applyProtection="1">
      <alignment horizontal="center" vertical="center" shrinkToFit="1"/>
      <protection locked="0"/>
    </xf>
    <xf numFmtId="43" fontId="72" fillId="31" borderId="4" xfId="1" applyFont="1" applyFill="1" applyBorder="1" applyAlignment="1" applyProtection="1">
      <alignment horizontal="left" vertical="center" shrinkToFit="1"/>
      <protection locked="0"/>
    </xf>
    <xf numFmtId="0" fontId="71" fillId="0" borderId="39" xfId="1" applyNumberFormat="1" applyFont="1" applyFill="1" applyBorder="1" applyAlignment="1" applyProtection="1">
      <alignment horizontal="center" vertical="center" shrinkToFit="1"/>
      <protection locked="0"/>
    </xf>
    <xf numFmtId="43" fontId="72" fillId="23" borderId="3" xfId="1" applyFont="1" applyFill="1" applyBorder="1" applyProtection="1">
      <protection hidden="1"/>
    </xf>
    <xf numFmtId="14" fontId="66" fillId="0" borderId="4" xfId="0" applyNumberFormat="1" applyFont="1" applyBorder="1" applyAlignment="1" applyProtection="1">
      <alignment horizontal="center"/>
      <protection locked="0"/>
    </xf>
    <xf numFmtId="4" fontId="71" fillId="0" borderId="4" xfId="7" applyNumberFormat="1" applyFont="1" applyFill="1" applyBorder="1" applyAlignment="1" applyProtection="1">
      <alignment horizontal="center"/>
      <protection hidden="1"/>
    </xf>
    <xf numFmtId="0" fontId="71" fillId="0" borderId="0" xfId="6" applyFont="1" applyBorder="1" applyAlignment="1" applyProtection="1">
      <alignment vertical="center"/>
      <protection locked="0"/>
    </xf>
    <xf numFmtId="1" fontId="71" fillId="0" borderId="66" xfId="1" applyNumberFormat="1" applyFont="1" applyFill="1" applyBorder="1" applyAlignment="1" applyProtection="1">
      <alignment horizontal="center" vertical="center" shrinkToFit="1"/>
      <protection locked="0"/>
    </xf>
    <xf numFmtId="43" fontId="67" fillId="31" borderId="71" xfId="1" applyFont="1" applyFill="1" applyBorder="1" applyAlignment="1" applyProtection="1">
      <alignment horizontal="center"/>
      <protection locked="0"/>
    </xf>
    <xf numFmtId="43" fontId="67" fillId="10" borderId="33" xfId="1" applyFont="1" applyFill="1" applyBorder="1" applyAlignment="1" applyProtection="1">
      <alignment horizontal="center"/>
      <protection locked="0"/>
    </xf>
    <xf numFmtId="0" fontId="67" fillId="0" borderId="0" xfId="0" applyFont="1" applyProtection="1">
      <protection locked="0"/>
    </xf>
    <xf numFmtId="0" fontId="66" fillId="0" borderId="0" xfId="0" applyFont="1" applyAlignment="1" applyProtection="1">
      <alignment horizontal="center"/>
      <protection locked="0"/>
    </xf>
    <xf numFmtId="1" fontId="66" fillId="0" borderId="0" xfId="1" applyNumberFormat="1" applyFont="1" applyAlignment="1" applyProtection="1">
      <alignment horizontal="center"/>
      <protection locked="0"/>
    </xf>
    <xf numFmtId="43" fontId="66" fillId="0" borderId="0" xfId="1" applyFont="1" applyAlignment="1" applyProtection="1">
      <alignment horizontal="center"/>
      <protection locked="0"/>
    </xf>
    <xf numFmtId="1" fontId="74" fillId="0" borderId="0" xfId="1" applyNumberFormat="1" applyFont="1" applyAlignment="1" applyProtection="1">
      <alignment horizontal="center"/>
      <protection locked="0"/>
    </xf>
    <xf numFmtId="43" fontId="67" fillId="0" borderId="0" xfId="1" applyFont="1" applyProtection="1">
      <protection locked="0"/>
    </xf>
    <xf numFmtId="0" fontId="67" fillId="0" borderId="0" xfId="1" applyNumberFormat="1" applyFont="1" applyAlignment="1" applyProtection="1">
      <alignment horizontal="center"/>
      <protection locked="0"/>
    </xf>
    <xf numFmtId="4" fontId="66" fillId="0" borderId="0" xfId="1" applyNumberFormat="1" applyFont="1" applyProtection="1">
      <protection locked="0"/>
    </xf>
    <xf numFmtId="4" fontId="64" fillId="0" borderId="0" xfId="1" applyNumberFormat="1" applyFont="1" applyProtection="1">
      <protection locked="0"/>
    </xf>
    <xf numFmtId="43" fontId="64" fillId="0" borderId="0" xfId="1" applyFont="1" applyProtection="1">
      <protection locked="0"/>
    </xf>
    <xf numFmtId="4" fontId="64" fillId="0" borderId="0" xfId="1" applyNumberFormat="1" applyFont="1" applyAlignment="1" applyProtection="1">
      <alignment horizontal="center"/>
      <protection locked="0"/>
    </xf>
    <xf numFmtId="0" fontId="66" fillId="0" borderId="0" xfId="0" applyFont="1"/>
    <xf numFmtId="43" fontId="66" fillId="0" borderId="0" xfId="0" applyNumberFormat="1" applyFont="1" applyAlignment="1" applyProtection="1">
      <alignment horizontal="center"/>
      <protection locked="0"/>
    </xf>
    <xf numFmtId="0" fontId="78" fillId="11" borderId="0" xfId="0" applyFont="1" applyFill="1" applyProtection="1">
      <protection locked="0"/>
    </xf>
    <xf numFmtId="43" fontId="61" fillId="11" borderId="0" xfId="1" applyFont="1" applyFill="1" applyBorder="1" applyAlignment="1" applyProtection="1">
      <alignment horizontal="centerContinuous"/>
      <protection locked="0"/>
    </xf>
    <xf numFmtId="43" fontId="61" fillId="11" borderId="0" xfId="1" applyFont="1" applyFill="1" applyAlignment="1" applyProtection="1">
      <alignment horizontal="centerContinuous" vertical="center"/>
      <protection locked="0"/>
    </xf>
    <xf numFmtId="43" fontId="71" fillId="0" borderId="66" xfId="1" applyFont="1" applyFill="1" applyBorder="1" applyAlignment="1" applyProtection="1">
      <alignment vertical="center"/>
      <protection locked="0"/>
    </xf>
    <xf numFmtId="43" fontId="71" fillId="0" borderId="4" xfId="1" applyFont="1" applyFill="1" applyBorder="1" applyAlignment="1" applyProtection="1">
      <alignment vertical="center"/>
      <protection locked="0"/>
    </xf>
    <xf numFmtId="1" fontId="70" fillId="25" borderId="23" xfId="1" applyNumberFormat="1" applyFont="1" applyFill="1" applyBorder="1" applyAlignment="1" applyProtection="1">
      <alignment horizontal="center" vertical="top" wrapText="1"/>
      <protection locked="0"/>
    </xf>
    <xf numFmtId="1" fontId="74" fillId="25" borderId="63" xfId="1" quotePrefix="1" applyNumberFormat="1" applyFont="1" applyFill="1" applyBorder="1" applyAlignment="1" applyProtection="1">
      <alignment horizontal="center" vertical="center" shrinkToFit="1"/>
      <protection locked="0"/>
    </xf>
    <xf numFmtId="43" fontId="74" fillId="25" borderId="63" xfId="1" applyFont="1" applyFill="1" applyBorder="1" applyAlignment="1" applyProtection="1">
      <alignment horizontal="center" vertical="center" shrinkToFit="1"/>
      <protection locked="0"/>
    </xf>
    <xf numFmtId="1" fontId="47" fillId="25" borderId="3" xfId="1" applyNumberFormat="1" applyFont="1" applyFill="1" applyBorder="1" applyAlignment="1" applyProtection="1">
      <alignment horizontal="center" vertical="top" wrapText="1"/>
      <protection locked="0"/>
    </xf>
    <xf numFmtId="1" fontId="62" fillId="25" borderId="63" xfId="1" quotePrefix="1" applyNumberFormat="1" applyFont="1" applyFill="1" applyBorder="1" applyAlignment="1" applyProtection="1">
      <alignment horizontal="center" vertical="center" shrinkToFit="1"/>
      <protection locked="0"/>
    </xf>
    <xf numFmtId="43" fontId="62" fillId="25" borderId="62" xfId="1" applyFont="1" applyFill="1" applyBorder="1" applyAlignment="1" applyProtection="1">
      <alignment horizontal="center" vertical="center" shrinkToFit="1"/>
      <protection locked="0"/>
    </xf>
    <xf numFmtId="0" fontId="64" fillId="11" borderId="0" xfId="3" applyFont="1" applyFill="1" applyBorder="1" applyAlignment="1" applyProtection="1">
      <alignment horizontal="center"/>
      <protection locked="0"/>
    </xf>
    <xf numFmtId="0" fontId="67" fillId="11" borderId="0" xfId="4" applyFont="1" applyFill="1" applyAlignment="1" applyProtection="1">
      <alignment horizontal="left" vertical="center"/>
      <protection locked="0"/>
    </xf>
    <xf numFmtId="0" fontId="67" fillId="11" borderId="0" xfId="4" applyFont="1" applyFill="1" applyAlignment="1" applyProtection="1">
      <alignment horizontal="center" vertical="center"/>
      <protection locked="0"/>
    </xf>
    <xf numFmtId="4" fontId="67" fillId="11" borderId="0" xfId="1" applyNumberFormat="1" applyFont="1" applyFill="1" applyProtection="1">
      <protection locked="0"/>
    </xf>
    <xf numFmtId="0" fontId="66" fillId="11" borderId="0" xfId="1" applyNumberFormat="1" applyFont="1" applyFill="1" applyAlignment="1" applyProtection="1">
      <alignment horizontal="center"/>
      <protection locked="0"/>
    </xf>
    <xf numFmtId="4" fontId="66" fillId="11" borderId="0" xfId="1" applyNumberFormat="1" applyFont="1" applyFill="1" applyAlignment="1" applyProtection="1">
      <alignment horizontal="center"/>
      <protection locked="0"/>
    </xf>
    <xf numFmtId="9" fontId="67" fillId="11" borderId="0" xfId="9" applyFont="1" applyFill="1" applyAlignment="1" applyProtection="1">
      <alignment horizontal="center"/>
      <protection locked="0"/>
    </xf>
    <xf numFmtId="0" fontId="66" fillId="11" borderId="0" xfId="1" applyNumberFormat="1" applyFont="1" applyFill="1" applyProtection="1">
      <protection locked="0"/>
    </xf>
    <xf numFmtId="9" fontId="6" fillId="11" borderId="0" xfId="1" applyNumberFormat="1" applyFont="1" applyFill="1" applyAlignment="1" applyProtection="1">
      <alignment horizontal="center"/>
      <protection locked="0"/>
    </xf>
    <xf numFmtId="0" fontId="67" fillId="31" borderId="33" xfId="0" applyFont="1" applyFill="1" applyBorder="1" applyProtection="1">
      <protection locked="0"/>
    </xf>
    <xf numFmtId="0" fontId="67" fillId="31" borderId="33" xfId="0" applyFont="1" applyFill="1" applyBorder="1" applyAlignment="1" applyProtection="1">
      <alignment horizontal="center"/>
      <protection locked="0"/>
    </xf>
    <xf numFmtId="1" fontId="67" fillId="31" borderId="33" xfId="1" applyNumberFormat="1" applyFont="1" applyFill="1" applyBorder="1" applyAlignment="1" applyProtection="1">
      <alignment horizontal="center"/>
      <protection locked="0"/>
    </xf>
    <xf numFmtId="1" fontId="65" fillId="31" borderId="71" xfId="1" applyNumberFormat="1" applyFont="1" applyFill="1" applyBorder="1" applyAlignment="1" applyProtection="1">
      <alignment horizontal="center"/>
      <protection locked="0"/>
    </xf>
    <xf numFmtId="43" fontId="65" fillId="31" borderId="71" xfId="1" applyFont="1" applyFill="1" applyBorder="1" applyAlignment="1" applyProtection="1">
      <alignment horizontal="center"/>
      <protection locked="0"/>
    </xf>
    <xf numFmtId="0" fontId="67" fillId="31" borderId="71" xfId="1" applyNumberFormat="1" applyFont="1" applyFill="1" applyBorder="1" applyAlignment="1" applyProtection="1">
      <alignment horizontal="center"/>
      <protection locked="0"/>
    </xf>
    <xf numFmtId="43" fontId="61" fillId="31" borderId="71" xfId="1" applyFont="1" applyFill="1" applyBorder="1" applyAlignment="1" applyProtection="1">
      <alignment horizontal="center"/>
      <protection locked="0"/>
    </xf>
    <xf numFmtId="43" fontId="72" fillId="31" borderId="73" xfId="1" applyFont="1" applyFill="1" applyBorder="1" applyAlignment="1" applyProtection="1">
      <alignment vertical="center" shrinkToFit="1"/>
      <protection locked="0"/>
    </xf>
    <xf numFmtId="43" fontId="72" fillId="31" borderId="75" xfId="1" applyFont="1" applyFill="1" applyBorder="1" applyAlignment="1" applyProtection="1">
      <alignment vertical="center" shrinkToFit="1"/>
      <protection locked="0"/>
    </xf>
    <xf numFmtId="43" fontId="72" fillId="31" borderId="75" xfId="1" applyFont="1" applyFill="1" applyBorder="1" applyAlignment="1" applyProtection="1">
      <alignment vertical="center"/>
      <protection locked="0"/>
    </xf>
    <xf numFmtId="43" fontId="72" fillId="31" borderId="60" xfId="1" applyFont="1" applyFill="1" applyBorder="1" applyAlignment="1" applyProtection="1">
      <alignment horizontal="left" vertical="center" shrinkToFit="1"/>
      <protection locked="0"/>
    </xf>
    <xf numFmtId="43" fontId="62" fillId="25" borderId="63" xfId="1" applyFont="1" applyFill="1" applyBorder="1" applyAlignment="1" applyProtection="1">
      <alignment horizontal="center" vertical="center" shrinkToFit="1"/>
      <protection locked="0"/>
    </xf>
    <xf numFmtId="0" fontId="71" fillId="0" borderId="62" xfId="6" applyFont="1" applyFill="1" applyBorder="1" applyAlignment="1" applyProtection="1">
      <alignment horizontal="center" vertical="center"/>
      <protection locked="0"/>
    </xf>
    <xf numFmtId="1" fontId="71" fillId="0" borderId="62" xfId="6" quotePrefix="1" applyNumberFormat="1" applyFont="1" applyFill="1" applyBorder="1" applyAlignment="1" applyProtection="1">
      <alignment horizontal="center" vertical="center"/>
      <protection locked="0"/>
    </xf>
    <xf numFmtId="0" fontId="71" fillId="0" borderId="63" xfId="6" applyFont="1" applyFill="1" applyBorder="1" applyAlignment="1" applyProtection="1">
      <alignment horizontal="center" vertical="center" shrinkToFit="1"/>
      <protection locked="0"/>
    </xf>
    <xf numFmtId="1" fontId="71" fillId="0" borderId="63" xfId="1" quotePrefix="1" applyNumberFormat="1" applyFont="1" applyFill="1" applyBorder="1" applyAlignment="1" applyProtection="1">
      <alignment horizontal="center" vertical="center" shrinkToFit="1"/>
      <protection locked="0"/>
    </xf>
    <xf numFmtId="43" fontId="71" fillId="0" borderId="63" xfId="1" quotePrefix="1" applyFont="1" applyFill="1" applyBorder="1" applyAlignment="1" applyProtection="1">
      <alignment horizontal="center" vertical="center" shrinkToFit="1"/>
      <protection locked="0"/>
    </xf>
    <xf numFmtId="43" fontId="46" fillId="0" borderId="72" xfId="1" applyFont="1" applyFill="1" applyBorder="1" applyAlignment="1" applyProtection="1">
      <alignment horizontal="center" vertical="center" shrinkToFit="1"/>
      <protection locked="0"/>
    </xf>
    <xf numFmtId="17" fontId="71" fillId="0" borderId="72" xfId="1" quotePrefix="1" applyNumberFormat="1" applyFont="1" applyFill="1" applyBorder="1" applyAlignment="1" applyProtection="1">
      <alignment horizontal="center" vertical="center" shrinkToFit="1"/>
      <protection locked="0"/>
    </xf>
    <xf numFmtId="43" fontId="54" fillId="0" borderId="61" xfId="1" applyFont="1" applyFill="1" applyBorder="1" applyAlignment="1" applyProtection="1">
      <alignment vertical="center" shrinkToFit="1"/>
      <protection locked="0"/>
    </xf>
    <xf numFmtId="43" fontId="47" fillId="22" borderId="26" xfId="1" applyFont="1" applyFill="1" applyBorder="1" applyAlignment="1" applyProtection="1">
      <alignment horizontal="center" vertical="top" wrapText="1"/>
      <protection locked="0"/>
    </xf>
    <xf numFmtId="43" fontId="47" fillId="22" borderId="4" xfId="1" applyFont="1" applyFill="1" applyBorder="1" applyAlignment="1" applyProtection="1">
      <alignment horizontal="center" vertical="top" wrapText="1"/>
      <protection locked="0"/>
    </xf>
    <xf numFmtId="43" fontId="63" fillId="22" borderId="46" xfId="1" applyFont="1" applyFill="1" applyBorder="1" applyAlignment="1" applyProtection="1">
      <alignment horizontal="center" vertical="top" wrapText="1"/>
      <protection locked="0"/>
    </xf>
    <xf numFmtId="9" fontId="59" fillId="11" borderId="0" xfId="9" applyFont="1" applyFill="1" applyAlignment="1" applyProtection="1">
      <alignment horizontal="center"/>
      <protection locked="0"/>
    </xf>
    <xf numFmtId="43" fontId="67" fillId="31" borderId="33" xfId="1" applyFont="1" applyFill="1" applyBorder="1" applyAlignment="1" applyProtection="1">
      <alignment horizontal="center"/>
      <protection locked="0"/>
    </xf>
    <xf numFmtId="9" fontId="13" fillId="11" borderId="0" xfId="9" applyFont="1" applyFill="1" applyBorder="1" applyAlignment="1">
      <alignment horizontal="center"/>
    </xf>
    <xf numFmtId="0" fontId="13" fillId="11" borderId="0" xfId="12" applyFont="1" applyFill="1" applyAlignment="1">
      <alignment horizontal="center"/>
    </xf>
    <xf numFmtId="0" fontId="22" fillId="11" borderId="0" xfId="12" applyFont="1" applyFill="1" applyAlignment="1">
      <alignment horizontal="center"/>
    </xf>
    <xf numFmtId="1" fontId="67" fillId="11" borderId="0" xfId="1" applyNumberFormat="1" applyFont="1" applyFill="1" applyBorder="1" applyAlignment="1" applyProtection="1">
      <alignment horizontal="center"/>
      <protection locked="0"/>
    </xf>
    <xf numFmtId="43" fontId="67" fillId="11" borderId="0" xfId="1" applyFont="1" applyFill="1" applyBorder="1" applyAlignment="1" applyProtection="1">
      <alignment horizontal="center"/>
      <protection locked="0"/>
    </xf>
    <xf numFmtId="1" fontId="65" fillId="11" borderId="0" xfId="1" applyNumberFormat="1" applyFont="1" applyFill="1" applyBorder="1" applyAlignment="1" applyProtection="1">
      <alignment horizontal="center"/>
      <protection locked="0"/>
    </xf>
    <xf numFmtId="43" fontId="65" fillId="11" borderId="0" xfId="1" applyFont="1" applyFill="1" applyBorder="1" applyAlignment="1" applyProtection="1">
      <alignment horizontal="center"/>
      <protection locked="0"/>
    </xf>
    <xf numFmtId="0" fontId="67" fillId="11" borderId="0" xfId="1" applyNumberFormat="1" applyFont="1" applyFill="1" applyBorder="1" applyAlignment="1" applyProtection="1">
      <alignment horizontal="center"/>
      <protection locked="0"/>
    </xf>
    <xf numFmtId="43" fontId="6" fillId="11" borderId="0" xfId="1" applyFont="1" applyFill="1" applyBorder="1" applyAlignment="1" applyProtection="1">
      <alignment horizontal="center"/>
      <protection locked="0"/>
    </xf>
    <xf numFmtId="43" fontId="61" fillId="11" borderId="0" xfId="1" applyFont="1" applyFill="1" applyBorder="1" applyAlignment="1" applyProtection="1">
      <alignment horizontal="center"/>
      <protection locked="0"/>
    </xf>
    <xf numFmtId="0" fontId="80" fillId="0" borderId="0" xfId="0" applyFont="1" applyProtection="1">
      <protection locked="0"/>
    </xf>
    <xf numFmtId="0" fontId="81" fillId="0" borderId="0" xfId="0" applyFont="1" applyAlignment="1" applyProtection="1">
      <alignment horizontal="center"/>
      <protection locked="0"/>
    </xf>
    <xf numFmtId="0" fontId="81" fillId="0" borderId="0" xfId="0" applyFont="1" applyProtection="1">
      <protection locked="0"/>
    </xf>
    <xf numFmtId="43" fontId="81" fillId="0" borderId="0" xfId="0" applyNumberFormat="1" applyFont="1" applyProtection="1">
      <protection locked="0"/>
    </xf>
    <xf numFmtId="43" fontId="81" fillId="0" borderId="0" xfId="0" applyNumberFormat="1" applyFont="1" applyAlignment="1" applyProtection="1">
      <alignment horizontal="center"/>
      <protection locked="0"/>
    </xf>
    <xf numFmtId="43" fontId="82" fillId="0" borderId="0" xfId="1" applyFont="1" applyProtection="1">
      <protection locked="0"/>
    </xf>
    <xf numFmtId="0" fontId="66" fillId="0" borderId="0" xfId="0" applyFont="1" applyAlignment="1" applyProtection="1">
      <alignment vertical="center"/>
      <protection locked="0"/>
    </xf>
    <xf numFmtId="0" fontId="81" fillId="0" borderId="0" xfId="0" applyFont="1" applyAlignment="1" applyProtection="1">
      <alignment vertical="center"/>
      <protection locked="0"/>
    </xf>
    <xf numFmtId="43" fontId="81" fillId="0" borderId="0" xfId="1" applyFont="1" applyAlignment="1" applyProtection="1">
      <alignment vertical="center"/>
      <protection locked="0"/>
    </xf>
    <xf numFmtId="43" fontId="66" fillId="0" borderId="0" xfId="1" applyFont="1" applyAlignment="1" applyProtection="1">
      <alignment horizontal="center" vertical="center"/>
      <protection locked="0"/>
    </xf>
    <xf numFmtId="0" fontId="66" fillId="0" borderId="0" xfId="1" applyNumberFormat="1" applyFont="1" applyAlignment="1" applyProtection="1">
      <alignment horizontal="center" vertical="center"/>
      <protection locked="0"/>
    </xf>
    <xf numFmtId="1" fontId="66" fillId="0" borderId="0" xfId="1" applyNumberFormat="1" applyFont="1" applyAlignment="1" applyProtection="1">
      <alignment horizontal="center" vertical="center"/>
      <protection locked="0"/>
    </xf>
    <xf numFmtId="1" fontId="74" fillId="0" borderId="0" xfId="1" applyNumberFormat="1" applyFont="1" applyAlignment="1" applyProtection="1">
      <alignment horizontal="center" vertical="center"/>
      <protection locked="0"/>
    </xf>
    <xf numFmtId="43" fontId="67" fillId="0" borderId="0" xfId="1" applyFont="1" applyAlignment="1" applyProtection="1">
      <alignment vertical="center"/>
      <protection locked="0"/>
    </xf>
    <xf numFmtId="0" fontId="67" fillId="0" borderId="0" xfId="1" applyNumberFormat="1" applyFont="1" applyAlignment="1" applyProtection="1">
      <alignment horizontal="center" vertical="center"/>
      <protection locked="0"/>
    </xf>
    <xf numFmtId="43" fontId="45" fillId="0" borderId="0" xfId="1" applyFont="1" applyAlignment="1" applyProtection="1">
      <alignment horizontal="center" vertical="center"/>
      <protection locked="0"/>
    </xf>
    <xf numFmtId="43" fontId="62" fillId="0" borderId="0" xfId="1" applyFont="1" applyAlignment="1" applyProtection="1">
      <alignment horizontal="center" vertical="center"/>
      <protection locked="0"/>
    </xf>
    <xf numFmtId="4" fontId="66" fillId="0" borderId="0" xfId="1" applyNumberFormat="1" applyFont="1" applyAlignment="1" applyProtection="1">
      <alignment vertical="center"/>
      <protection locked="0"/>
    </xf>
    <xf numFmtId="43" fontId="59" fillId="0" borderId="0" xfId="1" applyFont="1" applyAlignment="1" applyProtection="1">
      <alignment vertical="center"/>
      <protection locked="0"/>
    </xf>
    <xf numFmtId="43" fontId="61" fillId="0" borderId="0" xfId="1" applyFont="1" applyAlignment="1" applyProtection="1">
      <alignment vertical="center"/>
      <protection locked="0"/>
    </xf>
    <xf numFmtId="43" fontId="45" fillId="0" borderId="0" xfId="1" applyFont="1" applyAlignment="1" applyProtection="1">
      <alignment vertical="center"/>
      <protection locked="0"/>
    </xf>
    <xf numFmtId="43" fontId="6" fillId="0" borderId="0" xfId="1" applyFont="1" applyAlignment="1" applyProtection="1">
      <alignment vertical="center"/>
      <protection locked="0"/>
    </xf>
    <xf numFmtId="4" fontId="67" fillId="0" borderId="0" xfId="1" applyNumberFormat="1" applyFont="1" applyAlignment="1" applyProtection="1">
      <alignment vertical="center"/>
      <protection locked="0"/>
    </xf>
    <xf numFmtId="4" fontId="66" fillId="0" borderId="0" xfId="1" applyNumberFormat="1" applyFont="1" applyAlignment="1" applyProtection="1">
      <alignment horizontal="center" vertical="center"/>
      <protection locked="0"/>
    </xf>
    <xf numFmtId="0" fontId="66" fillId="0" borderId="0" xfId="0" applyFont="1" applyAlignment="1">
      <alignment vertical="center"/>
    </xf>
    <xf numFmtId="43" fontId="45" fillId="32" borderId="63" xfId="1" applyFont="1" applyFill="1" applyBorder="1" applyAlignment="1" applyProtection="1">
      <alignment horizontal="center" vertical="center" shrinkToFit="1"/>
      <protection locked="0"/>
    </xf>
    <xf numFmtId="9" fontId="4" fillId="0" borderId="66" xfId="9" applyFont="1" applyFill="1" applyBorder="1" applyAlignment="1">
      <alignment horizontal="right"/>
    </xf>
    <xf numFmtId="43" fontId="45" fillId="0" borderId="4" xfId="1" applyFont="1" applyFill="1" applyBorder="1" applyAlignment="1" applyProtection="1">
      <alignment horizontal="center" vertical="center" shrinkToFit="1"/>
      <protection locked="0"/>
    </xf>
    <xf numFmtId="0" fontId="69" fillId="11" borderId="0" xfId="1" applyNumberFormat="1" applyFont="1" applyFill="1" applyAlignment="1" applyProtection="1">
      <alignment horizontal="centerContinuous" vertical="center"/>
      <protection locked="0"/>
    </xf>
    <xf numFmtId="0" fontId="69" fillId="11" borderId="0" xfId="1" applyNumberFormat="1" applyFont="1" applyFill="1" applyAlignment="1" applyProtection="1">
      <alignment horizontal="center"/>
      <protection locked="0"/>
    </xf>
    <xf numFmtId="0" fontId="69" fillId="0" borderId="70" xfId="1" applyNumberFormat="1" applyFont="1" applyFill="1" applyBorder="1" applyAlignment="1" applyProtection="1">
      <alignment horizontal="center" vertical="center" shrinkToFit="1"/>
      <protection locked="0"/>
    </xf>
    <xf numFmtId="0" fontId="69" fillId="0" borderId="68" xfId="1" applyNumberFormat="1" applyFont="1" applyFill="1" applyBorder="1" applyAlignment="1" applyProtection="1">
      <alignment horizontal="center" vertical="center" shrinkToFit="1"/>
      <protection locked="0"/>
    </xf>
    <xf numFmtId="1" fontId="69" fillId="31" borderId="33" xfId="1" applyNumberFormat="1" applyFont="1" applyFill="1" applyBorder="1" applyAlignment="1" applyProtection="1">
      <alignment horizontal="center"/>
      <protection locked="0"/>
    </xf>
    <xf numFmtId="1" fontId="69" fillId="11" borderId="0" xfId="1" applyNumberFormat="1" applyFont="1" applyFill="1" applyBorder="1" applyAlignment="1" applyProtection="1">
      <alignment horizontal="center"/>
      <protection locked="0"/>
    </xf>
    <xf numFmtId="0" fontId="69" fillId="0" borderId="0" xfId="1" applyNumberFormat="1" applyFont="1" applyAlignment="1" applyProtection="1">
      <alignment horizontal="center"/>
      <protection locked="0"/>
    </xf>
    <xf numFmtId="0" fontId="69" fillId="0" borderId="0" xfId="1" applyNumberFormat="1" applyFont="1" applyAlignment="1" applyProtection="1">
      <alignment horizontal="center" vertical="center"/>
      <protection locked="0"/>
    </xf>
    <xf numFmtId="43" fontId="45" fillId="0" borderId="72" xfId="1" applyFont="1" applyFill="1" applyBorder="1" applyAlignment="1" applyProtection="1">
      <alignment horizontal="center" vertical="center" shrinkToFit="1"/>
      <protection locked="0"/>
    </xf>
    <xf numFmtId="43" fontId="45" fillId="0" borderId="63" xfId="1" applyFont="1" applyFill="1" applyBorder="1" applyAlignment="1" applyProtection="1">
      <alignment horizontal="center" vertical="center" shrinkToFit="1"/>
      <protection locked="0"/>
    </xf>
    <xf numFmtId="0" fontId="85" fillId="0" borderId="66" xfId="1" applyNumberFormat="1" applyFont="1" applyFill="1" applyBorder="1" applyAlignment="1" applyProtection="1">
      <alignment horizontal="center" vertical="center" shrinkToFit="1"/>
      <protection locked="0"/>
    </xf>
    <xf numFmtId="164" fontId="86" fillId="11" borderId="0" xfId="10" applyNumberFormat="1" applyFont="1" applyFill="1" applyAlignment="1"/>
    <xf numFmtId="43" fontId="28" fillId="11" borderId="0" xfId="11" applyFont="1" applyFill="1" applyBorder="1" applyAlignment="1"/>
    <xf numFmtId="0" fontId="77" fillId="0" borderId="0" xfId="0" applyFont="1" applyProtection="1">
      <protection locked="0"/>
    </xf>
    <xf numFmtId="0" fontId="70" fillId="5" borderId="4" xfId="8" applyFont="1" applyFill="1" applyBorder="1" applyAlignment="1" applyProtection="1">
      <alignment horizontal="center" vertical="center" wrapText="1"/>
      <protection locked="0"/>
    </xf>
    <xf numFmtId="0" fontId="76" fillId="0" borderId="113" xfId="1" applyNumberFormat="1" applyFont="1" applyFill="1" applyBorder="1" applyAlignment="1" applyProtection="1">
      <alignment horizontal="center" vertical="center" shrinkToFit="1"/>
      <protection locked="0"/>
    </xf>
    <xf numFmtId="0" fontId="71" fillId="0" borderId="113" xfId="1" applyNumberFormat="1" applyFont="1" applyFill="1" applyBorder="1" applyAlignment="1" applyProtection="1">
      <alignment horizontal="center" vertical="center" shrinkToFit="1"/>
      <protection locked="0"/>
    </xf>
    <xf numFmtId="0" fontId="71" fillId="0" borderId="110" xfId="1" applyNumberFormat="1" applyFont="1" applyFill="1" applyBorder="1" applyAlignment="1" applyProtection="1">
      <alignment horizontal="center" vertical="center" shrinkToFit="1"/>
      <protection locked="0"/>
    </xf>
    <xf numFmtId="164" fontId="28" fillId="29" borderId="0" xfId="10" applyNumberFormat="1" applyFont="1" applyFill="1" applyAlignment="1"/>
    <xf numFmtId="0" fontId="28" fillId="26" borderId="59" xfId="10" applyFont="1" applyFill="1" applyBorder="1" applyAlignment="1">
      <alignment horizontal="center" vertical="center"/>
    </xf>
    <xf numFmtId="0" fontId="87" fillId="11" borderId="0" xfId="12" applyFont="1" applyFill="1"/>
    <xf numFmtId="0" fontId="88" fillId="27" borderId="78" xfId="12" applyFont="1" applyFill="1" applyBorder="1" applyAlignment="1">
      <alignment horizontal="left" vertical="center"/>
    </xf>
    <xf numFmtId="0" fontId="88" fillId="27" borderId="93" xfId="12" applyFont="1" applyFill="1" applyBorder="1" applyAlignment="1">
      <alignment horizontal="center" vertical="center"/>
    </xf>
    <xf numFmtId="0" fontId="88" fillId="27" borderId="49" xfId="12" applyFont="1" applyFill="1" applyBorder="1" applyAlignment="1">
      <alignment horizontal="center" vertical="center"/>
    </xf>
    <xf numFmtId="0" fontId="88" fillId="11" borderId="0" xfId="12" applyFont="1" applyFill="1" applyAlignment="1">
      <alignment horizontal="center" vertical="center"/>
    </xf>
    <xf numFmtId="0" fontId="87" fillId="0" borderId="0" xfId="12" applyFont="1"/>
    <xf numFmtId="0" fontId="88" fillId="11" borderId="0" xfId="10" applyFont="1" applyFill="1" applyAlignment="1"/>
    <xf numFmtId="0" fontId="88" fillId="27" borderId="94" xfId="12" applyFont="1" applyFill="1" applyBorder="1" applyAlignment="1">
      <alignment horizontal="center" vertical="center"/>
    </xf>
    <xf numFmtId="0" fontId="88" fillId="27" borderId="17" xfId="12" applyFont="1" applyFill="1" applyBorder="1" applyAlignment="1">
      <alignment horizontal="center" vertical="center"/>
    </xf>
    <xf numFmtId="0" fontId="88" fillId="27" borderId="95" xfId="12" applyFont="1" applyFill="1" applyBorder="1" applyAlignment="1">
      <alignment horizontal="center" vertical="center"/>
    </xf>
    <xf numFmtId="0" fontId="88" fillId="0" borderId="0" xfId="10" applyFont="1" applyAlignment="1"/>
    <xf numFmtId="0" fontId="87" fillId="11" borderId="0" xfId="12" applyFont="1" applyFill="1" applyAlignment="1">
      <alignment vertical="center"/>
    </xf>
    <xf numFmtId="0" fontId="88" fillId="27" borderId="96" xfId="12" applyFont="1" applyFill="1" applyBorder="1" applyAlignment="1">
      <alignment horizontal="center" vertical="center"/>
    </xf>
    <xf numFmtId="0" fontId="88" fillId="27" borderId="85" xfId="12" applyFont="1" applyFill="1" applyBorder="1" applyAlignment="1">
      <alignment horizontal="center" vertical="center"/>
    </xf>
    <xf numFmtId="43" fontId="88" fillId="27" borderId="85" xfId="11" applyFont="1" applyFill="1" applyBorder="1" applyAlignment="1">
      <alignment horizontal="center" vertical="center"/>
    </xf>
    <xf numFmtId="0" fontId="88" fillId="27" borderId="86" xfId="12" applyFont="1" applyFill="1" applyBorder="1" applyAlignment="1">
      <alignment horizontal="center" vertical="center"/>
    </xf>
    <xf numFmtId="0" fontId="87" fillId="0" borderId="0" xfId="12" applyFont="1" applyAlignment="1">
      <alignment vertical="center"/>
    </xf>
    <xf numFmtId="0" fontId="37" fillId="11" borderId="0" xfId="10" applyFont="1" applyFill="1" applyAlignment="1">
      <alignment horizontal="centerContinuous"/>
    </xf>
    <xf numFmtId="43" fontId="37" fillId="11" borderId="0" xfId="11" applyFont="1" applyFill="1" applyAlignment="1">
      <alignment horizontal="centerContinuous"/>
    </xf>
    <xf numFmtId="0" fontId="37" fillId="0" borderId="0" xfId="10" applyFont="1"/>
    <xf numFmtId="0" fontId="37" fillId="11" borderId="0" xfId="10" applyFont="1" applyFill="1" applyBorder="1" applyAlignment="1"/>
    <xf numFmtId="0" fontId="37" fillId="24" borderId="17" xfId="10" applyFont="1" applyFill="1" applyBorder="1" applyAlignment="1"/>
    <xf numFmtId="0" fontId="37" fillId="10" borderId="0" xfId="10" applyFont="1" applyFill="1"/>
    <xf numFmtId="0" fontId="27" fillId="11" borderId="22" xfId="10" applyFont="1" applyFill="1" applyBorder="1" applyAlignment="1">
      <alignment horizontal="center"/>
    </xf>
    <xf numFmtId="0" fontId="30" fillId="11" borderId="24" xfId="10" applyFont="1" applyFill="1" applyBorder="1" applyAlignment="1">
      <alignment wrapText="1"/>
    </xf>
    <xf numFmtId="0" fontId="27" fillId="11" borderId="26" xfId="10" applyFont="1" applyFill="1" applyBorder="1" applyAlignment="1">
      <alignment horizontal="center"/>
    </xf>
    <xf numFmtId="0" fontId="30" fillId="11" borderId="24" xfId="10" applyFont="1" applyFill="1" applyBorder="1" applyAlignment="1">
      <alignment vertical="top" wrapText="1"/>
    </xf>
    <xf numFmtId="0" fontId="30" fillId="11" borderId="4" xfId="10" applyFont="1" applyFill="1" applyBorder="1" applyAlignment="1">
      <alignment vertical="top" wrapText="1"/>
    </xf>
    <xf numFmtId="0" fontId="30" fillId="11" borderId="4" xfId="10" applyFont="1" applyFill="1" applyBorder="1" applyAlignment="1">
      <alignment wrapText="1"/>
    </xf>
    <xf numFmtId="41" fontId="30" fillId="5" borderId="24" xfId="10" applyNumberFormat="1" applyFont="1" applyFill="1" applyBorder="1" applyAlignment="1">
      <alignment horizontal="center" vertical="top" wrapText="1"/>
    </xf>
    <xf numFmtId="41" fontId="30" fillId="5" borderId="4" xfId="10" applyNumberFormat="1" applyFont="1" applyFill="1" applyBorder="1" applyAlignment="1">
      <alignment horizontal="center" vertical="top"/>
    </xf>
    <xf numFmtId="0" fontId="30" fillId="5" borderId="24" xfId="10" applyFont="1" applyFill="1" applyBorder="1" applyAlignment="1">
      <alignment horizontal="center" vertical="top" wrapText="1"/>
    </xf>
    <xf numFmtId="0" fontId="30" fillId="5" borderId="4" xfId="10" applyFont="1" applyFill="1" applyBorder="1" applyAlignment="1">
      <alignment horizontal="center" vertical="top" wrapText="1"/>
    </xf>
    <xf numFmtId="0" fontId="66" fillId="0" borderId="65" xfId="6" applyFont="1" applyFill="1" applyBorder="1" applyAlignment="1" applyProtection="1">
      <alignment horizontal="center" vertical="center"/>
      <protection locked="0"/>
    </xf>
    <xf numFmtId="43" fontId="70" fillId="37" borderId="23" xfId="1" applyFont="1" applyFill="1" applyBorder="1" applyAlignment="1" applyProtection="1">
      <alignment horizontal="center" vertical="top" wrapText="1"/>
      <protection locked="0"/>
    </xf>
    <xf numFmtId="0" fontId="66" fillId="38" borderId="3" xfId="8" applyFont="1" applyFill="1" applyBorder="1" applyAlignment="1" applyProtection="1">
      <alignment horizontal="center" vertical="top" wrapText="1"/>
      <protection locked="0"/>
    </xf>
    <xf numFmtId="0" fontId="69" fillId="39" borderId="4" xfId="0" applyFont="1" applyFill="1" applyBorder="1" applyAlignment="1">
      <alignment horizontal="center" vertical="top" wrapText="1"/>
    </xf>
    <xf numFmtId="0" fontId="66" fillId="38" borderId="4" xfId="8" applyFont="1" applyFill="1" applyBorder="1" applyAlignment="1" applyProtection="1">
      <alignment horizontal="center" vertical="top" wrapText="1"/>
      <protection locked="0"/>
    </xf>
    <xf numFmtId="0" fontId="66" fillId="38" borderId="24" xfId="8" applyFont="1" applyFill="1" applyBorder="1" applyAlignment="1" applyProtection="1">
      <alignment horizontal="center" vertical="top" wrapText="1"/>
      <protection locked="0"/>
    </xf>
    <xf numFmtId="0" fontId="69" fillId="40" borderId="46" xfId="0" applyFont="1" applyFill="1" applyBorder="1" applyAlignment="1">
      <alignment horizontal="center" vertical="top" wrapText="1"/>
    </xf>
    <xf numFmtId="1" fontId="70" fillId="38" borderId="4" xfId="1" applyNumberFormat="1" applyFont="1" applyFill="1" applyBorder="1" applyAlignment="1" applyProtection="1">
      <alignment horizontal="center" vertical="top" wrapText="1"/>
      <protection locked="0"/>
    </xf>
    <xf numFmtId="0" fontId="69" fillId="41" borderId="68" xfId="1" applyNumberFormat="1" applyFont="1" applyFill="1" applyBorder="1" applyAlignment="1" applyProtection="1">
      <alignment horizontal="center" vertical="top" wrapText="1"/>
      <protection locked="0"/>
    </xf>
    <xf numFmtId="0" fontId="70" fillId="37" borderId="22" xfId="1" applyNumberFormat="1" applyFont="1" applyFill="1" applyBorder="1" applyAlignment="1" applyProtection="1">
      <alignment horizontal="center" vertical="top" wrapText="1"/>
      <protection locked="0"/>
    </xf>
    <xf numFmtId="43" fontId="70" fillId="37" borderId="59" xfId="1" applyFont="1" applyFill="1" applyBorder="1" applyAlignment="1" applyProtection="1">
      <alignment horizontal="center" vertical="top" wrapText="1"/>
      <protection locked="0"/>
    </xf>
    <xf numFmtId="0" fontId="69" fillId="41" borderId="93" xfId="1" applyNumberFormat="1" applyFont="1" applyFill="1" applyBorder="1" applyAlignment="1" applyProtection="1">
      <alignment horizontal="center" vertical="top" wrapText="1"/>
      <protection locked="0"/>
    </xf>
    <xf numFmtId="17" fontId="71" fillId="41" borderId="63" xfId="1" quotePrefix="1" applyNumberFormat="1" applyFont="1" applyFill="1" applyBorder="1" applyAlignment="1" applyProtection="1">
      <alignment horizontal="center" vertical="center" shrinkToFit="1"/>
      <protection locked="0"/>
    </xf>
    <xf numFmtId="10" fontId="69" fillId="41" borderId="69" xfId="1" quotePrefix="1" applyNumberFormat="1" applyFont="1" applyFill="1" applyBorder="1" applyAlignment="1" applyProtection="1">
      <alignment horizontal="center" vertical="center" shrinkToFit="1"/>
      <protection locked="0"/>
    </xf>
    <xf numFmtId="0" fontId="69" fillId="41" borderId="110" xfId="1" applyNumberFormat="1" applyFont="1" applyFill="1" applyBorder="1" applyAlignment="1" applyProtection="1">
      <alignment horizontal="center" vertical="top" wrapText="1"/>
      <protection locked="0"/>
    </xf>
    <xf numFmtId="0" fontId="71" fillId="41" borderId="81" xfId="1" applyNumberFormat="1" applyFont="1" applyFill="1" applyBorder="1" applyAlignment="1" applyProtection="1">
      <alignment horizontal="center" vertical="center" shrinkToFit="1"/>
      <protection locked="0"/>
    </xf>
    <xf numFmtId="0" fontId="71" fillId="41" borderId="117" xfId="1" applyNumberFormat="1" applyFont="1" applyFill="1" applyBorder="1" applyAlignment="1" applyProtection="1">
      <alignment horizontal="center" vertical="center" shrinkToFit="1"/>
      <protection locked="0"/>
    </xf>
    <xf numFmtId="43" fontId="71" fillId="41" borderId="117" xfId="1" applyFont="1" applyFill="1" applyBorder="1" applyAlignment="1" applyProtection="1">
      <alignment horizontal="center" vertical="center" shrinkToFit="1"/>
      <protection locked="0"/>
    </xf>
    <xf numFmtId="43" fontId="71" fillId="41" borderId="108" xfId="1" applyFont="1" applyFill="1" applyBorder="1" applyAlignment="1" applyProtection="1">
      <alignment horizontal="center" vertical="center" shrinkToFit="1"/>
      <protection locked="0"/>
    </xf>
    <xf numFmtId="0" fontId="71" fillId="8" borderId="63" xfId="6" applyFont="1" applyFill="1" applyBorder="1" applyAlignment="1" applyProtection="1">
      <alignment vertical="center" shrinkToFit="1"/>
      <protection locked="0"/>
    </xf>
    <xf numFmtId="0" fontId="70" fillId="8" borderId="66" xfId="6" applyFont="1" applyFill="1" applyBorder="1" applyAlignment="1" applyProtection="1">
      <alignment vertical="center" shrinkToFit="1"/>
      <protection locked="0"/>
    </xf>
    <xf numFmtId="0" fontId="84" fillId="8" borderId="66" xfId="6" applyFont="1" applyFill="1" applyBorder="1" applyAlignment="1" applyProtection="1">
      <alignment vertical="center" shrinkToFit="1"/>
      <protection locked="0"/>
    </xf>
    <xf numFmtId="0" fontId="84" fillId="8" borderId="4" xfId="6" applyFont="1" applyFill="1" applyBorder="1" applyAlignment="1" applyProtection="1">
      <alignment horizontal="left" vertical="center" shrinkToFit="1"/>
      <protection locked="0"/>
    </xf>
    <xf numFmtId="0" fontId="84" fillId="8" borderId="66" xfId="6" applyFont="1" applyFill="1" applyBorder="1" applyAlignment="1" applyProtection="1">
      <alignment vertical="top" wrapText="1" shrinkToFit="1"/>
      <protection locked="0"/>
    </xf>
    <xf numFmtId="0" fontId="76" fillId="8" borderId="66" xfId="6" applyFont="1" applyFill="1" applyBorder="1" applyAlignment="1" applyProtection="1">
      <alignment vertical="center" shrinkToFit="1"/>
      <protection locked="0"/>
    </xf>
    <xf numFmtId="0" fontId="76" fillId="8" borderId="4" xfId="6" applyFont="1" applyFill="1" applyBorder="1" applyAlignment="1" applyProtection="1">
      <alignment horizontal="left" vertical="center" shrinkToFit="1"/>
      <protection locked="0"/>
    </xf>
    <xf numFmtId="0" fontId="83" fillId="8" borderId="66" xfId="6" applyFont="1" applyFill="1" applyBorder="1" applyAlignment="1" applyProtection="1">
      <alignment vertical="center" shrinkToFit="1"/>
      <protection locked="0"/>
    </xf>
    <xf numFmtId="43" fontId="64" fillId="11" borderId="0" xfId="1" applyFont="1" applyFill="1" applyBorder="1" applyAlignment="1" applyProtection="1">
      <alignment horizontal="center"/>
      <protection locked="0"/>
    </xf>
    <xf numFmtId="43" fontId="67" fillId="11" borderId="0" xfId="1" applyFont="1" applyFill="1" applyAlignment="1" applyProtection="1">
      <alignment horizontal="center" vertical="center"/>
      <protection locked="0"/>
    </xf>
    <xf numFmtId="43" fontId="69" fillId="41" borderId="0" xfId="1" applyFont="1" applyFill="1" applyBorder="1" applyAlignment="1" applyProtection="1">
      <alignment horizontal="center" vertical="top" wrapText="1"/>
      <protection locked="0"/>
    </xf>
    <xf numFmtId="43" fontId="69" fillId="41" borderId="111" xfId="1" applyFont="1" applyFill="1" applyBorder="1" applyAlignment="1" applyProtection="1">
      <alignment horizontal="center" vertical="top" wrapText="1"/>
      <protection locked="0"/>
    </xf>
    <xf numFmtId="43" fontId="69" fillId="41" borderId="112" xfId="1" applyFont="1" applyFill="1" applyBorder="1" applyAlignment="1" applyProtection="1">
      <alignment horizontal="center" vertical="top" wrapText="1"/>
      <protection locked="0"/>
    </xf>
    <xf numFmtId="43" fontId="71" fillId="41" borderId="114" xfId="1" applyFont="1" applyFill="1" applyBorder="1" applyAlignment="1" applyProtection="1">
      <alignment horizontal="center" vertical="center" shrinkToFit="1"/>
      <protection locked="0"/>
    </xf>
    <xf numFmtId="43" fontId="76" fillId="0" borderId="115" xfId="1" applyFont="1" applyFill="1" applyBorder="1" applyAlignment="1" applyProtection="1">
      <alignment horizontal="center" vertical="center" shrinkToFit="1"/>
      <protection locked="0"/>
    </xf>
    <xf numFmtId="43" fontId="76" fillId="0" borderId="109" xfId="1" applyFont="1" applyFill="1" applyBorder="1" applyAlignment="1" applyProtection="1">
      <alignment horizontal="center" vertical="center" shrinkToFit="1"/>
      <protection locked="0"/>
    </xf>
    <xf numFmtId="43" fontId="76" fillId="0" borderId="64" xfId="1" applyFont="1" applyFill="1" applyBorder="1" applyAlignment="1" applyProtection="1">
      <alignment horizontal="center" vertical="center" shrinkToFit="1"/>
      <protection locked="0"/>
    </xf>
    <xf numFmtId="43" fontId="71" fillId="0" borderId="115" xfId="1" applyFont="1" applyFill="1" applyBorder="1" applyAlignment="1" applyProtection="1">
      <alignment horizontal="center" vertical="center" shrinkToFit="1"/>
      <protection locked="0"/>
    </xf>
    <xf numFmtId="43" fontId="71" fillId="0" borderId="109" xfId="1" applyFont="1" applyFill="1" applyBorder="1" applyAlignment="1" applyProtection="1">
      <alignment horizontal="center" vertical="center" shrinkToFit="1"/>
      <protection locked="0"/>
    </xf>
    <xf numFmtId="43" fontId="71" fillId="0" borderId="64" xfId="1" applyFont="1" applyFill="1" applyBorder="1" applyAlignment="1" applyProtection="1">
      <alignment horizontal="center" vertical="center" shrinkToFit="1"/>
      <protection locked="0"/>
    </xf>
    <xf numFmtId="43" fontId="71" fillId="0" borderId="116" xfId="1" applyFont="1" applyFill="1" applyBorder="1" applyAlignment="1" applyProtection="1">
      <alignment horizontal="center" vertical="center" shrinkToFit="1"/>
      <protection locked="0"/>
    </xf>
    <xf numFmtId="43" fontId="71" fillId="0" borderId="111" xfId="1" applyFont="1" applyFill="1" applyBorder="1" applyAlignment="1" applyProtection="1">
      <alignment horizontal="center" vertical="center" shrinkToFit="1"/>
      <protection locked="0"/>
    </xf>
    <xf numFmtId="43" fontId="71" fillId="0" borderId="118" xfId="1" applyFont="1" applyFill="1" applyBorder="1" applyAlignment="1" applyProtection="1">
      <alignment horizontal="center" vertical="center" shrinkToFit="1"/>
      <protection locked="0"/>
    </xf>
    <xf numFmtId="43" fontId="71" fillId="41" borderId="107" xfId="1" applyFont="1" applyFill="1" applyBorder="1" applyAlignment="1" applyProtection="1">
      <alignment horizontal="center" vertical="center" shrinkToFit="1"/>
      <protection locked="0"/>
    </xf>
    <xf numFmtId="43" fontId="67" fillId="0" borderId="0" xfId="1" applyFont="1" applyAlignment="1" applyProtection="1">
      <alignment horizontal="center"/>
      <protection locked="0"/>
    </xf>
    <xf numFmtId="43" fontId="67" fillId="0" borderId="0" xfId="1" applyFont="1" applyAlignment="1" applyProtection="1">
      <alignment horizontal="center" vertical="center"/>
      <protection locked="0"/>
    </xf>
    <xf numFmtId="43" fontId="91" fillId="0" borderId="115" xfId="1" applyFont="1" applyFill="1" applyBorder="1" applyAlignment="1" applyProtection="1">
      <alignment horizontal="center" vertical="center" shrinkToFit="1"/>
      <protection locked="0"/>
    </xf>
    <xf numFmtId="1" fontId="92" fillId="0" borderId="4" xfId="1" applyNumberFormat="1" applyFont="1" applyFill="1" applyBorder="1" applyAlignment="1" applyProtection="1">
      <alignment horizontal="center" vertical="center" shrinkToFit="1"/>
      <protection locked="0"/>
    </xf>
    <xf numFmtId="1" fontId="74" fillId="25" borderId="6" xfId="1" quotePrefix="1" applyNumberFormat="1" applyFont="1" applyFill="1" applyBorder="1" applyAlignment="1" applyProtection="1">
      <alignment horizontal="center" vertical="center" shrinkToFit="1"/>
      <protection locked="0"/>
    </xf>
    <xf numFmtId="43" fontId="74" fillId="25" borderId="123" xfId="1" applyFont="1" applyFill="1" applyBorder="1" applyAlignment="1" applyProtection="1">
      <alignment horizontal="center" vertical="center" shrinkToFit="1"/>
      <protection locked="0"/>
    </xf>
    <xf numFmtId="43" fontId="93" fillId="0" borderId="66" xfId="1" applyFont="1" applyFill="1" applyBorder="1" applyAlignment="1" applyProtection="1">
      <alignment horizontal="center" vertical="center" shrinkToFit="1"/>
      <protection locked="0"/>
    </xf>
    <xf numFmtId="1" fontId="93" fillId="11" borderId="122" xfId="1" quotePrefix="1" applyNumberFormat="1" applyFont="1" applyFill="1" applyBorder="1" applyAlignment="1" applyProtection="1">
      <alignment horizontal="center" vertical="center" shrinkToFit="1"/>
      <protection locked="0"/>
    </xf>
    <xf numFmtId="43" fontId="93" fillId="11" borderId="122" xfId="1" applyFont="1" applyFill="1" applyBorder="1" applyAlignment="1" applyProtection="1">
      <alignment horizontal="center" vertical="center" shrinkToFit="1"/>
      <protection locked="0"/>
    </xf>
    <xf numFmtId="1" fontId="62" fillId="25" borderId="6" xfId="1" quotePrefix="1" applyNumberFormat="1" applyFont="1" applyFill="1" applyBorder="1" applyAlignment="1" applyProtection="1">
      <alignment horizontal="center" vertical="center" shrinkToFit="1"/>
      <protection locked="0"/>
    </xf>
    <xf numFmtId="1" fontId="62" fillId="25" borderId="122" xfId="1" quotePrefix="1" applyNumberFormat="1" applyFont="1" applyFill="1" applyBorder="1" applyAlignment="1" applyProtection="1">
      <alignment horizontal="center" vertical="center" shrinkToFit="1"/>
      <protection locked="0"/>
    </xf>
    <xf numFmtId="43" fontId="62" fillId="25" borderId="16" xfId="1" applyFont="1" applyFill="1" applyBorder="1" applyAlignment="1" applyProtection="1">
      <alignment horizontal="center" vertical="center" shrinkToFit="1"/>
      <protection locked="0"/>
    </xf>
    <xf numFmtId="43" fontId="62" fillId="25" borderId="122" xfId="1" applyFont="1" applyFill="1" applyBorder="1" applyAlignment="1" applyProtection="1">
      <alignment horizontal="center" vertical="center" shrinkToFit="1"/>
      <protection locked="0"/>
    </xf>
    <xf numFmtId="43" fontId="46" fillId="32" borderId="16" xfId="1" applyFont="1" applyFill="1" applyBorder="1" applyAlignment="1" applyProtection="1">
      <alignment horizontal="center" vertical="center" shrinkToFit="1"/>
      <protection locked="0"/>
    </xf>
    <xf numFmtId="43" fontId="46" fillId="32" borderId="122" xfId="1" applyFont="1" applyFill="1" applyBorder="1" applyAlignment="1" applyProtection="1">
      <alignment horizontal="center" vertical="center" shrinkToFit="1"/>
      <protection locked="0"/>
    </xf>
    <xf numFmtId="43" fontId="94" fillId="32" borderId="62" xfId="1" applyFont="1" applyFill="1" applyBorder="1" applyAlignment="1" applyProtection="1">
      <alignment horizontal="center" vertical="center" shrinkToFit="1"/>
      <protection locked="0"/>
    </xf>
    <xf numFmtId="0" fontId="95" fillId="18" borderId="0" xfId="1" applyNumberFormat="1" applyFont="1" applyFill="1" applyBorder="1" applyAlignment="1" applyProtection="1">
      <alignment horizontal="center"/>
      <protection locked="0"/>
    </xf>
    <xf numFmtId="0" fontId="22" fillId="31" borderId="124" xfId="12" applyFont="1" applyFill="1" applyBorder="1" applyAlignment="1">
      <alignment horizontal="center"/>
    </xf>
    <xf numFmtId="9" fontId="22" fillId="31" borderId="101" xfId="9" applyFont="1" applyFill="1" applyBorder="1" applyAlignment="1">
      <alignment horizontal="center"/>
    </xf>
    <xf numFmtId="0" fontId="38" fillId="31" borderId="101" xfId="12" applyFont="1" applyFill="1" applyBorder="1"/>
    <xf numFmtId="43" fontId="22" fillId="31" borderId="101" xfId="9" applyNumberFormat="1" applyFont="1" applyFill="1" applyBorder="1" applyAlignment="1">
      <alignment horizontal="center"/>
    </xf>
    <xf numFmtId="43" fontId="22" fillId="31" borderId="125" xfId="11" applyFont="1" applyFill="1" applyBorder="1" applyAlignment="1"/>
    <xf numFmtId="43" fontId="22" fillId="10" borderId="71" xfId="11" applyFont="1" applyFill="1" applyBorder="1" applyAlignment="1"/>
    <xf numFmtId="0" fontId="22" fillId="31" borderId="71" xfId="12" applyFont="1" applyFill="1" applyBorder="1"/>
    <xf numFmtId="43" fontId="22" fillId="10" borderId="71" xfId="12" applyNumberFormat="1" applyFont="1" applyFill="1" applyBorder="1"/>
    <xf numFmtId="0" fontId="22" fillId="31" borderId="71" xfId="12" applyFont="1" applyFill="1" applyBorder="1" applyAlignment="1">
      <alignment horizontal="center"/>
    </xf>
    <xf numFmtId="0" fontId="22" fillId="31" borderId="126" xfId="12" applyFont="1" applyFill="1" applyBorder="1" applyAlignment="1">
      <alignment horizontal="center"/>
    </xf>
    <xf numFmtId="0" fontId="32" fillId="0" borderId="85" xfId="12" applyFont="1" applyBorder="1"/>
    <xf numFmtId="43" fontId="13" fillId="0" borderId="85" xfId="9" applyNumberFormat="1" applyFont="1" applyBorder="1" applyAlignment="1">
      <alignment horizontal="center"/>
    </xf>
    <xf numFmtId="43" fontId="13" fillId="0" borderId="85" xfId="11" applyFont="1" applyFill="1" applyBorder="1" applyAlignment="1"/>
    <xf numFmtId="43" fontId="13" fillId="0" borderId="85" xfId="12" applyNumberFormat="1" applyFont="1" applyBorder="1" applyAlignment="1">
      <alignment horizontal="center"/>
    </xf>
    <xf numFmtId="43" fontId="13" fillId="18" borderId="85" xfId="1" applyFont="1" applyFill="1" applyBorder="1" applyAlignment="1"/>
    <xf numFmtId="0" fontId="13" fillId="0" borderId="85" xfId="12" applyFont="1" applyBorder="1" applyAlignment="1">
      <alignment horizontal="center"/>
    </xf>
    <xf numFmtId="0" fontId="13" fillId="0" borderId="86" xfId="12" applyFont="1" applyBorder="1" applyAlignment="1">
      <alignment horizontal="center"/>
    </xf>
    <xf numFmtId="1" fontId="62" fillId="0" borderId="122" xfId="1" quotePrefix="1" applyNumberFormat="1" applyFont="1" applyFill="1" applyBorder="1" applyAlignment="1" applyProtection="1">
      <alignment horizontal="center" vertical="center" shrinkToFit="1"/>
      <protection locked="0"/>
    </xf>
    <xf numFmtId="43" fontId="62" fillId="0" borderId="122" xfId="1" applyFont="1" applyFill="1" applyBorder="1" applyAlignment="1" applyProtection="1">
      <alignment horizontal="center" vertical="center" shrinkToFit="1"/>
      <protection locked="0"/>
    </xf>
    <xf numFmtId="43" fontId="46" fillId="0" borderId="122" xfId="1" applyFont="1" applyFill="1" applyBorder="1" applyAlignment="1" applyProtection="1">
      <alignment horizontal="center" vertical="center" shrinkToFit="1"/>
      <protection locked="0"/>
    </xf>
    <xf numFmtId="43" fontId="45" fillId="32" borderId="66" xfId="1" applyFont="1" applyFill="1" applyBorder="1" applyAlignment="1">
      <alignment horizontal="center"/>
    </xf>
    <xf numFmtId="9" fontId="4" fillId="0" borderId="4" xfId="9" applyFont="1" applyFill="1" applyBorder="1" applyAlignment="1" applyProtection="1">
      <alignment horizontal="right" vertical="center" shrinkToFit="1"/>
      <protection locked="0"/>
    </xf>
    <xf numFmtId="43" fontId="71" fillId="24" borderId="128" xfId="1" applyFont="1" applyFill="1" applyBorder="1" applyAlignment="1" applyProtection="1">
      <alignment vertical="center"/>
      <protection locked="0"/>
    </xf>
    <xf numFmtId="43" fontId="71" fillId="0" borderId="127" xfId="1" applyFont="1" applyFill="1" applyBorder="1" applyAlignment="1" applyProtection="1">
      <alignment vertical="center"/>
      <protection locked="0"/>
    </xf>
    <xf numFmtId="43" fontId="67" fillId="23" borderId="130" xfId="1" applyFont="1" applyFill="1" applyBorder="1" applyProtection="1">
      <protection hidden="1"/>
    </xf>
    <xf numFmtId="43" fontId="72" fillId="23" borderId="129" xfId="1" applyFont="1" applyFill="1" applyBorder="1" applyProtection="1">
      <protection hidden="1"/>
    </xf>
    <xf numFmtId="43" fontId="72" fillId="31" borderId="132" xfId="1" applyFont="1" applyFill="1" applyBorder="1" applyAlignment="1" applyProtection="1">
      <alignment vertical="center" shrinkToFit="1"/>
      <protection locked="0"/>
    </xf>
    <xf numFmtId="43" fontId="72" fillId="31" borderId="131" xfId="1" applyFont="1" applyFill="1" applyBorder="1" applyAlignment="1" applyProtection="1">
      <alignment vertical="center" shrinkToFit="1"/>
      <protection locked="0"/>
    </xf>
    <xf numFmtId="0" fontId="37" fillId="11" borderId="0" xfId="10" applyFont="1" applyFill="1" applyAlignment="1"/>
    <xf numFmtId="43" fontId="79" fillId="36" borderId="121" xfId="1" applyFont="1" applyFill="1" applyBorder="1" applyAlignment="1" applyProtection="1">
      <alignment horizontal="center" vertical="center"/>
      <protection locked="0"/>
    </xf>
    <xf numFmtId="43" fontId="79" fillId="36" borderId="0" xfId="1" applyFont="1" applyFill="1" applyBorder="1" applyAlignment="1" applyProtection="1">
      <alignment horizontal="center" vertical="center"/>
      <protection locked="0"/>
    </xf>
    <xf numFmtId="43" fontId="79" fillId="36" borderId="39" xfId="1" applyFont="1" applyFill="1" applyBorder="1" applyAlignment="1" applyProtection="1">
      <alignment horizontal="center" vertical="center"/>
      <protection locked="0"/>
    </xf>
    <xf numFmtId="43" fontId="79" fillId="35" borderId="0" xfId="1" applyFont="1" applyFill="1" applyBorder="1" applyAlignment="1" applyProtection="1">
      <alignment horizontal="center" vertical="center"/>
      <protection locked="0"/>
    </xf>
    <xf numFmtId="43" fontId="79" fillId="35" borderId="39" xfId="1" applyFont="1" applyFill="1" applyBorder="1" applyAlignment="1" applyProtection="1">
      <alignment horizontal="center" vertical="center"/>
      <protection locked="0"/>
    </xf>
    <xf numFmtId="0" fontId="64" fillId="11" borderId="0" xfId="3" applyFont="1" applyFill="1" applyBorder="1" applyAlignment="1" applyProtection="1">
      <alignment horizontal="left"/>
      <protection locked="0"/>
    </xf>
    <xf numFmtId="43" fontId="89" fillId="42" borderId="78" xfId="1" applyFont="1" applyFill="1" applyBorder="1" applyAlignment="1" applyProtection="1">
      <alignment horizontal="center" vertical="center"/>
      <protection locked="0"/>
    </xf>
    <xf numFmtId="43" fontId="89" fillId="42" borderId="93" xfId="1" applyFont="1" applyFill="1" applyBorder="1" applyAlignment="1" applyProtection="1">
      <alignment horizontal="center" vertical="center"/>
      <protection locked="0"/>
    </xf>
    <xf numFmtId="43" fontId="89" fillId="42" borderId="49" xfId="1" applyFont="1" applyFill="1" applyBorder="1" applyAlignment="1" applyProtection="1">
      <alignment horizontal="center" vertical="center"/>
      <protection locked="0"/>
    </xf>
    <xf numFmtId="43" fontId="90" fillId="42" borderId="119" xfId="1" applyFont="1" applyFill="1" applyBorder="1" applyAlignment="1" applyProtection="1">
      <alignment horizontal="center" vertical="center"/>
      <protection locked="0"/>
    </xf>
    <xf numFmtId="43" fontId="90" fillId="42" borderId="120" xfId="1" applyFont="1" applyFill="1" applyBorder="1" applyAlignment="1" applyProtection="1">
      <alignment horizontal="center" vertical="center"/>
      <protection locked="0"/>
    </xf>
    <xf numFmtId="43" fontId="90" fillId="42" borderId="50" xfId="1" applyFont="1" applyFill="1" applyBorder="1" applyAlignment="1" applyProtection="1">
      <alignment horizontal="center" vertical="center"/>
      <protection locked="0"/>
    </xf>
    <xf numFmtId="43" fontId="79" fillId="35" borderId="93" xfId="1" applyFont="1" applyFill="1" applyBorder="1" applyAlignment="1" applyProtection="1">
      <alignment horizontal="center" vertical="center"/>
      <protection locked="0"/>
    </xf>
    <xf numFmtId="43" fontId="79" fillId="35" borderId="49" xfId="1" applyFont="1" applyFill="1" applyBorder="1" applyAlignment="1" applyProtection="1">
      <alignment horizontal="center" vertical="center"/>
      <protection locked="0"/>
    </xf>
    <xf numFmtId="43" fontId="79" fillId="36" borderId="78" xfId="1" applyFont="1" applyFill="1" applyBorder="1" applyAlignment="1" applyProtection="1">
      <alignment horizontal="center" vertical="center"/>
      <protection locked="0"/>
    </xf>
    <xf numFmtId="43" fontId="79" fillId="36" borderId="93" xfId="1" applyFont="1" applyFill="1" applyBorder="1" applyAlignment="1" applyProtection="1">
      <alignment horizontal="center" vertical="center"/>
      <protection locked="0"/>
    </xf>
    <xf numFmtId="43" fontId="79" fillId="36" borderId="49" xfId="1" applyFont="1" applyFill="1" applyBorder="1" applyAlignment="1" applyProtection="1">
      <alignment horizontal="center" vertical="center"/>
      <protection locked="0"/>
    </xf>
    <xf numFmtId="43" fontId="28" fillId="11" borderId="0" xfId="11" applyFont="1" applyFill="1" applyBorder="1" applyAlignment="1">
      <alignment horizontal="left" vertical="center" wrapText="1"/>
    </xf>
    <xf numFmtId="0" fontId="8" fillId="19" borderId="46" xfId="12" applyFont="1" applyFill="1" applyBorder="1" applyAlignment="1">
      <alignment horizontal="center" vertical="center"/>
    </xf>
    <xf numFmtId="0" fontId="8" fillId="0" borderId="0" xfId="10" applyFont="1" applyAlignment="1">
      <alignment horizontal="left"/>
    </xf>
    <xf numFmtId="0" fontId="48" fillId="0" borderId="0" xfId="10" applyFont="1" applyAlignment="1">
      <alignment horizontal="left"/>
    </xf>
    <xf numFmtId="0" fontId="22" fillId="0" borderId="35" xfId="10" applyFont="1" applyBorder="1" applyAlignment="1">
      <alignment horizontal="center" vertical="top" wrapText="1"/>
    </xf>
    <xf numFmtId="0" fontId="22" fillId="0" borderId="4" xfId="10" applyFont="1" applyBorder="1" applyAlignment="1">
      <alignment horizontal="center" vertical="top" wrapText="1"/>
    </xf>
    <xf numFmtId="0" fontId="22" fillId="0" borderId="20" xfId="10" applyFont="1" applyBorder="1" applyAlignment="1">
      <alignment horizontal="center" vertical="top" wrapText="1"/>
    </xf>
    <xf numFmtId="0" fontId="22" fillId="5" borderId="5" xfId="10" applyFont="1" applyFill="1" applyBorder="1" applyAlignment="1">
      <alignment horizontal="center" vertical="top"/>
    </xf>
    <xf numFmtId="0" fontId="22" fillId="5" borderId="4" xfId="10" applyFont="1" applyFill="1" applyBorder="1" applyAlignment="1">
      <alignment horizontal="center" vertical="top"/>
    </xf>
    <xf numFmtId="0" fontId="22" fillId="5" borderId="13" xfId="10" applyFont="1" applyFill="1" applyBorder="1" applyAlignment="1">
      <alignment horizontal="center" vertical="top" wrapText="1"/>
    </xf>
    <xf numFmtId="0" fontId="22" fillId="5" borderId="34" xfId="10" applyFont="1" applyFill="1" applyBorder="1" applyAlignment="1">
      <alignment horizontal="center" vertical="top" wrapText="1"/>
    </xf>
    <xf numFmtId="0" fontId="22" fillId="5" borderId="36" xfId="10" applyFont="1" applyFill="1" applyBorder="1" applyAlignment="1">
      <alignment horizontal="center" vertical="top" wrapText="1"/>
    </xf>
    <xf numFmtId="0" fontId="22" fillId="5" borderId="46" xfId="10" applyFont="1" applyFill="1" applyBorder="1" applyAlignment="1">
      <alignment horizontal="center" vertical="top" wrapText="1"/>
    </xf>
    <xf numFmtId="0" fontId="13" fillId="5" borderId="5" xfId="10" applyFont="1" applyFill="1" applyBorder="1" applyAlignment="1">
      <alignment horizontal="center" vertical="top" wrapText="1"/>
    </xf>
    <xf numFmtId="0" fontId="13" fillId="5" borderId="4" xfId="10" applyFont="1" applyFill="1" applyBorder="1" applyAlignment="1">
      <alignment horizontal="center" vertical="top"/>
    </xf>
    <xf numFmtId="0" fontId="13" fillId="5" borderId="20" xfId="10" applyFont="1" applyFill="1" applyBorder="1" applyAlignment="1">
      <alignment horizontal="center" vertical="top"/>
    </xf>
    <xf numFmtId="41" fontId="13" fillId="5" borderId="5" xfId="10" applyNumberFormat="1" applyFont="1" applyFill="1" applyBorder="1" applyAlignment="1">
      <alignment horizontal="center" vertical="top" wrapText="1"/>
    </xf>
    <xf numFmtId="41" fontId="13" fillId="5" borderId="4" xfId="10" applyNumberFormat="1" applyFont="1" applyFill="1" applyBorder="1" applyAlignment="1">
      <alignment horizontal="center" vertical="top"/>
    </xf>
    <xf numFmtId="41" fontId="13" fillId="5" borderId="20" xfId="10" applyNumberFormat="1" applyFont="1" applyFill="1" applyBorder="1" applyAlignment="1">
      <alignment horizontal="center" vertical="top"/>
    </xf>
    <xf numFmtId="0" fontId="13" fillId="5" borderId="4" xfId="10" applyFont="1" applyFill="1" applyBorder="1" applyAlignment="1">
      <alignment horizontal="center" vertical="top" wrapText="1"/>
    </xf>
    <xf numFmtId="0" fontId="13" fillId="5" borderId="20" xfId="10" applyFont="1" applyFill="1" applyBorder="1" applyAlignment="1">
      <alignment horizontal="center" vertical="top" wrapText="1"/>
    </xf>
  </cellXfs>
  <cellStyles count="14">
    <cellStyle name="40% - Accent3" xfId="7" builtinId="39"/>
    <cellStyle name="40% - Accent5" xfId="8" builtinId="47"/>
    <cellStyle name="Comma" xfId="1" builtinId="3"/>
    <cellStyle name="Comma 2" xfId="11" xr:uid="{35822B5A-C7C2-44B2-A681-0B5492F88E31}"/>
    <cellStyle name="Currency" xfId="2" builtinId="4"/>
    <cellStyle name="Good" xfId="5" builtinId="26"/>
    <cellStyle name="Heading 1" xfId="3" builtinId="16"/>
    <cellStyle name="Heading 4" xfId="4" builtinId="19"/>
    <cellStyle name="Heading 4 2" xfId="13" xr:uid="{AFCB3CEA-02F0-45E4-A1D9-8950E9487163}"/>
    <cellStyle name="Normal" xfId="0" builtinId="0"/>
    <cellStyle name="Normal 2" xfId="12" xr:uid="{F7E5A196-D5F9-4AF9-B8F2-156FA5986BEF}"/>
    <cellStyle name="Percent" xfId="9" builtinId="5"/>
    <cellStyle name="Title 2" xfId="10" xr:uid="{1F8A6357-1365-4D86-8018-08A14816939D}"/>
    <cellStyle name="Total" xfId="6" builtinId="25"/>
  </cellStyles>
  <dxfs count="111">
    <dxf>
      <font>
        <b/>
        <i val="0"/>
        <strike val="0"/>
        <condense val="0"/>
        <extend val="0"/>
        <outline val="0"/>
        <shadow val="0"/>
        <u val="none"/>
        <vertAlign val="baseline"/>
        <sz val="12"/>
        <color auto="1"/>
        <name val="Arial"/>
        <family val="2"/>
        <scheme val="none"/>
      </font>
      <numFmt numFmtId="35" formatCode="_(* #,##0.00_);_(* \(#,##0.00\);_(* &quot;-&quot;??_);_(@_)"/>
      <alignment horizontal="centerContinuous" vertical="bottom" textRotation="0" wrapText="0" indent="0" justifyLastLine="0" shrinkToFit="0" readingOrder="0"/>
      <border diagonalUp="0" diagonalDown="0" outline="0">
        <left/>
        <right style="thin">
          <color indexed="64"/>
        </right>
        <top/>
        <bottom style="medium">
          <color indexed="64"/>
        </bottom>
      </border>
      <protection locked="0" hidden="0"/>
    </dxf>
    <dxf>
      <font>
        <strike val="0"/>
        <outline val="0"/>
        <shadow val="0"/>
        <u val="none"/>
        <vertAlign val="baseline"/>
        <sz val="12"/>
      </font>
      <alignment vertical="bottom" textRotation="0" indent="0" justifyLastLine="0" readingOrder="0"/>
    </dxf>
    <dxf>
      <font>
        <b/>
        <i val="0"/>
        <strike val="0"/>
        <condense val="0"/>
        <extend val="0"/>
        <outline val="0"/>
        <shadow val="0"/>
        <u val="none"/>
        <vertAlign val="baseline"/>
        <sz val="12"/>
        <color auto="1"/>
        <name val="Arial"/>
        <family val="2"/>
        <scheme val="none"/>
      </font>
      <numFmt numFmtId="35" formatCode="_(* #,##0.00_);_(* \(#,##0.00\);_(* &quot;-&quot;??_);_(@_)"/>
      <alignment horizontal="center" vertical="bottom" textRotation="0" wrapText="0" indent="0" justifyLastLine="0" shrinkToFit="0" readingOrder="0"/>
      <border diagonalUp="0" diagonalDown="0" outline="0">
        <left style="thin">
          <color indexed="64"/>
        </left>
        <right style="thin">
          <color indexed="64"/>
        </right>
        <top/>
        <bottom style="medium">
          <color indexed="64"/>
        </bottom>
      </border>
      <protection locked="0" hidden="0"/>
    </dxf>
    <dxf>
      <font>
        <strike val="0"/>
        <outline val="0"/>
        <shadow val="0"/>
        <u val="none"/>
        <vertAlign val="baseline"/>
        <sz val="12"/>
      </font>
      <alignment horizontal="center" vertical="bottom" textRotation="0" indent="0" justifyLastLine="0" shrinkToFit="0" readingOrder="0"/>
      <border diagonalUp="0" diagonalDown="0" outline="0">
        <left style="thin">
          <color indexed="64"/>
        </left>
        <right style="thin">
          <color indexed="64"/>
        </right>
      </border>
    </dxf>
    <dxf>
      <font>
        <b/>
        <i val="0"/>
        <strike val="0"/>
        <condense val="0"/>
        <extend val="0"/>
        <outline val="0"/>
        <shadow val="0"/>
        <u val="none"/>
        <vertAlign val="baseline"/>
        <sz val="12"/>
        <color auto="1"/>
        <name val="Arial"/>
        <family val="2"/>
        <scheme val="none"/>
      </font>
      <numFmt numFmtId="35" formatCode="_(* #,##0.00_);_(* \(#,##0.00\);_(* &quot;-&quot;??_);_(@_)"/>
      <alignment horizontal="centerContinuous" vertical="bottom" textRotation="0" wrapText="0" indent="0" justifyLastLine="0" shrinkToFit="0" readingOrder="0"/>
      <border diagonalUp="0" diagonalDown="0" outline="0">
        <left style="thin">
          <color indexed="64"/>
        </left>
        <right style="thin">
          <color indexed="64"/>
        </right>
        <top/>
        <bottom style="medium">
          <color indexed="64"/>
        </bottom>
      </border>
      <protection locked="0" hidden="0"/>
    </dxf>
    <dxf>
      <font>
        <strike val="0"/>
        <outline val="0"/>
        <shadow val="0"/>
        <u val="none"/>
        <vertAlign val="baseline"/>
        <sz val="12"/>
      </font>
      <alignment vertical="bottom" textRotation="0" indent="0" justifyLastLine="0" readingOrder="0"/>
    </dxf>
    <dxf>
      <font>
        <b/>
        <i val="0"/>
        <strike val="0"/>
        <condense val="0"/>
        <extend val="0"/>
        <outline val="0"/>
        <shadow val="0"/>
        <u val="none"/>
        <vertAlign val="baseline"/>
        <sz val="12"/>
        <color auto="1"/>
        <name val="Arial"/>
        <family val="2"/>
        <scheme val="none"/>
      </font>
      <numFmt numFmtId="35" formatCode="_(* #,##0.00_);_(* \(#,##0.00\);_(* &quot;-&quot;??_);_(@_)"/>
      <fill>
        <patternFill patternType="solid">
          <fgColor indexed="64"/>
          <bgColor rgb="FFFFFF00"/>
        </patternFill>
      </fill>
      <alignment horizontal="centerContinuous" vertical="bottom" textRotation="0" wrapText="0" indent="0" justifyLastLine="0" shrinkToFit="0" readingOrder="0"/>
      <border diagonalUp="0" diagonalDown="0" outline="0">
        <left style="thin">
          <color indexed="64"/>
        </left>
        <right style="thin">
          <color indexed="64"/>
        </right>
        <top/>
        <bottom style="medium">
          <color indexed="64"/>
        </bottom>
      </border>
      <protection locked="0" hidden="0"/>
    </dxf>
    <dxf>
      <font>
        <strike val="0"/>
        <outline val="0"/>
        <shadow val="0"/>
        <u val="none"/>
        <vertAlign val="baseline"/>
        <sz val="12"/>
      </font>
      <alignment vertical="bottom" textRotation="0" indent="0" justifyLastLine="0" readingOrder="0"/>
    </dxf>
    <dxf>
      <font>
        <b/>
        <i val="0"/>
        <strike val="0"/>
        <condense val="0"/>
        <extend val="0"/>
        <outline val="0"/>
        <shadow val="0"/>
        <u val="none"/>
        <vertAlign val="baseline"/>
        <sz val="12"/>
        <color auto="1"/>
        <name val="Arial"/>
        <family val="2"/>
        <scheme val="none"/>
      </font>
      <numFmt numFmtId="35" formatCode="_(* #,##0.00_);_(* \(#,##0.00\);_(* &quot;-&quot;??_);_(@_)"/>
      <alignment horizontal="left" vertical="bottom" textRotation="0" wrapText="0" indent="0" justifyLastLine="0" shrinkToFit="0" readingOrder="0"/>
      <border diagonalUp="0" diagonalDown="0" outline="0">
        <left style="thin">
          <color indexed="64"/>
        </left>
        <right style="thin">
          <color indexed="64"/>
        </right>
        <top/>
        <bottom style="medium">
          <color indexed="64"/>
        </bottom>
      </border>
      <protection locked="0" hidden="0"/>
    </dxf>
    <dxf>
      <font>
        <b val="0"/>
        <i val="0"/>
        <strike val="0"/>
        <condense val="0"/>
        <extend val="0"/>
        <outline val="0"/>
        <shadow val="0"/>
        <u val="none"/>
        <vertAlign val="baseline"/>
        <sz val="12"/>
        <color indexed="8"/>
        <name val="Arial"/>
        <family val="2"/>
        <scheme val="none"/>
      </font>
      <alignment horizontal="general" vertical="bottom" textRotation="0" wrapText="0" indent="0" justifyLastLine="0" shrinkToFit="0" readingOrder="0"/>
      <border diagonalUp="0" diagonalDown="0" outline="0">
        <left style="thin">
          <color indexed="64"/>
        </left>
        <right style="thin">
          <color indexed="64"/>
        </right>
        <top/>
        <bottom/>
      </border>
      <protection locked="0" hidden="0"/>
    </dxf>
    <dxf>
      <font>
        <b/>
        <i val="0"/>
        <strike val="0"/>
        <condense val="0"/>
        <extend val="0"/>
        <outline val="0"/>
        <shadow val="0"/>
        <u val="none"/>
        <vertAlign val="baseline"/>
        <sz val="12"/>
        <color auto="1"/>
        <name val="Arial"/>
        <family val="2"/>
        <scheme val="none"/>
      </font>
      <numFmt numFmtId="35" formatCode="_(* #,##0.00_);_(* \(#,##0.00\);_(* &quot;-&quot;??_);_(@_)"/>
      <alignment horizontal="left" vertical="bottom" textRotation="0" wrapText="0" indent="0" justifyLastLine="0" shrinkToFit="0" readingOrder="0"/>
      <border diagonalUp="0" diagonalDown="0" outline="0">
        <left style="thin">
          <color indexed="64"/>
        </left>
        <right style="thin">
          <color indexed="64"/>
        </right>
        <top/>
        <bottom style="medium">
          <color indexed="64"/>
        </bottom>
      </border>
      <protection locked="0" hidden="0"/>
    </dxf>
    <dxf>
      <font>
        <b val="0"/>
        <i val="0"/>
        <strike val="0"/>
        <condense val="0"/>
        <extend val="0"/>
        <outline val="0"/>
        <shadow val="0"/>
        <u val="none"/>
        <vertAlign val="baseline"/>
        <sz val="12"/>
        <color indexed="8"/>
        <name val="Arial"/>
        <family val="2"/>
        <scheme val="none"/>
      </font>
      <numFmt numFmtId="4" formatCode="#,##0.00"/>
      <alignment horizontal="general" vertical="bottom" textRotation="0" wrapText="0" indent="0" justifyLastLine="0" shrinkToFit="0" readingOrder="0"/>
      <border diagonalUp="0" diagonalDown="0" outline="0">
        <left style="thin">
          <color indexed="64"/>
        </left>
        <right style="thin">
          <color indexed="64"/>
        </right>
        <top/>
        <bottom/>
      </border>
      <protection locked="0" hidden="0"/>
    </dxf>
    <dxf>
      <font>
        <b/>
        <i val="0"/>
        <strike val="0"/>
        <condense val="0"/>
        <extend val="0"/>
        <outline val="0"/>
        <shadow val="0"/>
        <u val="none"/>
        <vertAlign val="baseline"/>
        <sz val="12"/>
        <color auto="1"/>
        <name val="Arial"/>
        <family val="2"/>
        <scheme val="none"/>
      </font>
      <numFmt numFmtId="35" formatCode="_(* #,##0.00_);_(* \(#,##0.00\);_(* &quot;-&quot;??_);_(@_)"/>
      <alignment horizontal="left" vertical="bottom" textRotation="0" wrapText="0" indent="0" justifyLastLine="0" shrinkToFit="0" readingOrder="0"/>
      <border diagonalUp="0" diagonalDown="0" outline="0">
        <left style="thin">
          <color indexed="64"/>
        </left>
        <right style="thin">
          <color indexed="64"/>
        </right>
        <top/>
        <bottom style="medium">
          <color indexed="64"/>
        </bottom>
      </border>
      <protection locked="0" hidden="0"/>
    </dxf>
    <dxf>
      <font>
        <b val="0"/>
        <i val="0"/>
        <strike val="0"/>
        <condense val="0"/>
        <extend val="0"/>
        <outline val="0"/>
        <shadow val="0"/>
        <u val="none"/>
        <vertAlign val="baseline"/>
        <sz val="12"/>
        <color indexed="8"/>
        <name val="Arial"/>
        <family val="2"/>
        <scheme val="none"/>
      </font>
      <numFmt numFmtId="4" formatCode="#,##0.00"/>
      <alignment horizontal="general" vertical="bottom" textRotation="0" wrapText="0" indent="0" justifyLastLine="0" shrinkToFit="0" readingOrder="0"/>
      <border diagonalUp="0" diagonalDown="0" outline="0">
        <left style="thin">
          <color indexed="64"/>
        </left>
        <right style="thin">
          <color indexed="64"/>
        </right>
        <top/>
        <bottom/>
      </border>
      <protection locked="0" hidden="0"/>
    </dxf>
    <dxf>
      <font>
        <b/>
        <i val="0"/>
        <strike val="0"/>
        <condense val="0"/>
        <extend val="0"/>
        <outline val="0"/>
        <shadow val="0"/>
        <u val="none"/>
        <vertAlign val="baseline"/>
        <sz val="12"/>
        <color auto="1"/>
        <name val="Arial"/>
        <family val="2"/>
        <scheme val="none"/>
      </font>
      <numFmt numFmtId="35" formatCode="_(* #,##0.00_);_(* \(#,##0.00\);_(* &quot;-&quot;??_);_(@_)"/>
      <alignment horizontal="left" vertical="bottom" textRotation="0" wrapText="0" indent="0" justifyLastLine="0" shrinkToFit="0" readingOrder="0"/>
      <border diagonalUp="0" diagonalDown="0" outline="0">
        <left style="thin">
          <color indexed="64"/>
        </left>
        <right style="thin">
          <color indexed="64"/>
        </right>
        <top/>
        <bottom style="medium">
          <color indexed="64"/>
        </bottom>
      </border>
      <protection locked="0" hidden="0"/>
    </dxf>
    <dxf>
      <font>
        <b val="0"/>
        <i val="0"/>
        <strike val="0"/>
        <condense val="0"/>
        <extend val="0"/>
        <outline val="0"/>
        <shadow val="0"/>
        <u val="none"/>
        <vertAlign val="baseline"/>
        <sz val="12"/>
        <color indexed="8"/>
        <name val="Arial"/>
        <family val="2"/>
        <scheme val="none"/>
      </font>
      <numFmt numFmtId="4" formatCode="#,##0.00"/>
      <alignment horizontal="general" vertical="bottom" textRotation="0" wrapText="0" indent="0" justifyLastLine="0" shrinkToFit="0" readingOrder="0"/>
      <border diagonalUp="0" diagonalDown="0" outline="0">
        <left style="thin">
          <color indexed="64"/>
        </left>
        <right style="thin">
          <color indexed="64"/>
        </right>
        <top/>
        <bottom/>
      </border>
      <protection locked="0" hidden="0"/>
    </dxf>
    <dxf>
      <font>
        <b/>
        <i val="0"/>
        <strike val="0"/>
        <condense val="0"/>
        <extend val="0"/>
        <outline val="0"/>
        <shadow val="0"/>
        <u val="none"/>
        <vertAlign val="baseline"/>
        <sz val="12"/>
        <color auto="1"/>
        <name val="Arial"/>
        <family val="2"/>
        <scheme val="none"/>
      </font>
      <numFmt numFmtId="35" formatCode="_(* #,##0.00_);_(* \(#,##0.00\);_(* &quot;-&quot;??_);_(@_)"/>
      <alignment horizontal="left" vertical="bottom" textRotation="0" wrapText="0" indent="0" justifyLastLine="0" shrinkToFit="0" readingOrder="0"/>
      <border diagonalUp="0" diagonalDown="0" outline="0">
        <left style="thin">
          <color indexed="64"/>
        </left>
        <right style="thin">
          <color indexed="64"/>
        </right>
        <top/>
        <bottom style="medium">
          <color indexed="64"/>
        </bottom>
      </border>
      <protection locked="0" hidden="0"/>
    </dxf>
    <dxf>
      <font>
        <b val="0"/>
        <i val="0"/>
        <strike val="0"/>
        <condense val="0"/>
        <extend val="0"/>
        <outline val="0"/>
        <shadow val="0"/>
        <u val="none"/>
        <vertAlign val="baseline"/>
        <sz val="12"/>
        <color indexed="8"/>
        <name val="Arial"/>
        <family val="2"/>
        <scheme val="none"/>
      </font>
      <numFmt numFmtId="4" formatCode="#,##0.00"/>
      <alignment horizontal="general" vertical="bottom" textRotation="0" wrapText="0" indent="0" justifyLastLine="0" shrinkToFit="0" readingOrder="0"/>
      <border diagonalUp="0" diagonalDown="0" outline="0">
        <left style="thin">
          <color indexed="64"/>
        </left>
        <right style="thin">
          <color indexed="64"/>
        </right>
        <top/>
        <bottom/>
      </border>
      <protection locked="0" hidden="0"/>
    </dxf>
    <dxf>
      <font>
        <b/>
        <i val="0"/>
        <strike val="0"/>
        <condense val="0"/>
        <extend val="0"/>
        <outline val="0"/>
        <shadow val="0"/>
        <u val="none"/>
        <vertAlign val="baseline"/>
        <sz val="12"/>
        <color auto="1"/>
        <name val="Arial"/>
        <family val="2"/>
        <scheme val="none"/>
      </font>
      <numFmt numFmtId="35" formatCode="_(* #,##0.00_);_(* \(#,##0.00\);_(* &quot;-&quot;??_);_(@_)"/>
      <alignment horizontal="left" vertical="bottom" textRotation="0" wrapText="0" indent="0" justifyLastLine="0" shrinkToFit="0" readingOrder="0"/>
      <border diagonalUp="0" diagonalDown="0" outline="0">
        <left style="thin">
          <color indexed="64"/>
        </left>
        <right style="thin">
          <color indexed="64"/>
        </right>
        <top/>
        <bottom style="medium">
          <color indexed="64"/>
        </bottom>
      </border>
      <protection locked="0" hidden="0"/>
    </dxf>
    <dxf>
      <font>
        <strike val="0"/>
        <outline val="0"/>
        <shadow val="0"/>
        <u val="none"/>
        <vertAlign val="baseline"/>
        <sz val="12"/>
      </font>
      <numFmt numFmtId="164" formatCode="_-* #,##0.00_-;\-* #,##0.00_-;_-* &quot;-&quot;??_-;_-@_-"/>
      <alignment vertical="bottom" textRotation="0" indent="0" justifyLastLine="0" readingOrder="0"/>
    </dxf>
    <dxf>
      <font>
        <b/>
        <i val="0"/>
        <strike val="0"/>
        <condense val="0"/>
        <extend val="0"/>
        <outline val="0"/>
        <shadow val="0"/>
        <u val="none"/>
        <vertAlign val="baseline"/>
        <sz val="12"/>
        <color auto="1"/>
        <name val="Arial"/>
        <family val="2"/>
        <scheme val="none"/>
      </font>
      <numFmt numFmtId="35" formatCode="_(* #,##0.00_);_(* \(#,##0.00\);_(* &quot;-&quot;??_);_(@_)"/>
      <alignment horizontal="left" vertical="bottom" textRotation="0" wrapText="0" indent="0" justifyLastLine="0" shrinkToFit="0" readingOrder="0"/>
      <border diagonalUp="0" diagonalDown="0" outline="0">
        <left style="thin">
          <color indexed="64"/>
        </left>
        <right style="thin">
          <color indexed="64"/>
        </right>
        <top/>
        <bottom style="medium">
          <color indexed="64"/>
        </bottom>
      </border>
      <protection locked="0" hidden="0"/>
    </dxf>
    <dxf>
      <font>
        <strike val="0"/>
        <outline val="0"/>
        <shadow val="0"/>
        <u val="none"/>
        <vertAlign val="baseline"/>
        <sz val="12"/>
      </font>
      <alignment vertical="bottom" textRotation="0" indent="0" justifyLastLine="0" readingOrder="0"/>
    </dxf>
    <dxf>
      <font>
        <b/>
        <i val="0"/>
        <strike val="0"/>
        <condense val="0"/>
        <extend val="0"/>
        <outline val="0"/>
        <shadow val="0"/>
        <u val="none"/>
        <vertAlign val="baseline"/>
        <sz val="12"/>
        <color auto="1"/>
        <name val="Arial"/>
        <family val="2"/>
        <scheme val="none"/>
      </font>
      <numFmt numFmtId="35" formatCode="_(* #,##0.00_);_(* \(#,##0.00\);_(* &quot;-&quot;??_);_(@_)"/>
      <alignment horizontal="left" vertical="bottom" textRotation="0" wrapText="0" indent="0" justifyLastLine="0" shrinkToFit="0" readingOrder="0"/>
      <border diagonalUp="0" diagonalDown="0" outline="0">
        <left style="thin">
          <color indexed="64"/>
        </left>
        <right style="thin">
          <color indexed="64"/>
        </right>
        <top/>
        <bottom style="medium">
          <color indexed="64"/>
        </bottom>
      </border>
      <protection locked="0" hidden="0"/>
    </dxf>
    <dxf>
      <font>
        <strike val="0"/>
        <outline val="0"/>
        <shadow val="0"/>
        <u val="none"/>
        <vertAlign val="baseline"/>
        <sz val="12"/>
      </font>
      <alignment horizontal="center" vertical="bottom" textRotation="0" indent="0" justifyLastLine="0" readingOrder="0"/>
    </dxf>
    <dxf>
      <font>
        <b/>
        <i val="0"/>
        <strike val="0"/>
        <condense val="0"/>
        <extend val="0"/>
        <outline val="0"/>
        <shadow val="0"/>
        <u val="none"/>
        <vertAlign val="baseline"/>
        <sz val="12"/>
        <color auto="1"/>
        <name val="Arial"/>
        <family val="2"/>
        <scheme val="none"/>
      </font>
      <numFmt numFmtId="35" formatCode="_(* #,##0.00_);_(* \(#,##0.00\);_(* &quot;-&quot;??_);_(@_)"/>
      <alignment horizontal="left" vertical="bottom" textRotation="0" wrapText="0" indent="0" justifyLastLine="0" shrinkToFit="0" readingOrder="0"/>
      <border diagonalUp="0" diagonalDown="0" outline="0">
        <left style="thin">
          <color indexed="64"/>
        </left>
        <right style="thin">
          <color indexed="64"/>
        </right>
        <top/>
        <bottom style="medium">
          <color indexed="64"/>
        </bottom>
      </border>
      <protection locked="0" hidden="0"/>
    </dxf>
    <dxf>
      <font>
        <strike val="0"/>
        <outline val="0"/>
        <shadow val="0"/>
        <u val="none"/>
        <vertAlign val="baseline"/>
        <sz val="12"/>
      </font>
      <alignment vertical="bottom" textRotation="0" indent="0" justifyLastLine="0" readingOrder="0"/>
    </dxf>
    <dxf>
      <font>
        <b/>
        <i val="0"/>
        <strike val="0"/>
        <condense val="0"/>
        <extend val="0"/>
        <outline val="0"/>
        <shadow val="0"/>
        <u val="none"/>
        <vertAlign val="baseline"/>
        <sz val="12"/>
        <color auto="1"/>
        <name val="Arial"/>
        <family val="2"/>
        <scheme val="none"/>
      </font>
      <numFmt numFmtId="35" formatCode="_(* #,##0.00_);_(* \(#,##0.00\);_(* &quot;-&quot;??_);_(@_)"/>
      <alignment horizontal="left" vertical="bottom" textRotation="0" wrapText="0" indent="0" justifyLastLine="0" shrinkToFit="0" readingOrder="0"/>
      <border diagonalUp="0" diagonalDown="0" outline="0">
        <left style="thin">
          <color indexed="64"/>
        </left>
        <right style="thin">
          <color indexed="64"/>
        </right>
        <top/>
        <bottom style="medium">
          <color indexed="64"/>
        </bottom>
      </border>
      <protection locked="0" hidden="0"/>
    </dxf>
    <dxf>
      <font>
        <b val="0"/>
        <i val="0"/>
        <strike val="0"/>
        <condense val="0"/>
        <extend val="0"/>
        <outline val="0"/>
        <shadow val="0"/>
        <u val="none"/>
        <vertAlign val="baseline"/>
        <sz val="12"/>
        <color indexed="8"/>
        <name val="Arial"/>
        <family val="2"/>
        <scheme val="none"/>
      </font>
      <numFmt numFmtId="0" formatCode="General"/>
      <alignment horizontal="center" vertical="bottom" textRotation="0" wrapText="0" indent="0" justifyLastLine="0" shrinkToFit="1" readingOrder="0"/>
      <border diagonalUp="0" diagonalDown="0" outline="0">
        <left style="thin">
          <color indexed="64"/>
        </left>
        <right style="thin">
          <color indexed="64"/>
        </right>
        <top/>
        <bottom/>
      </border>
      <protection locked="0" hidden="0"/>
    </dxf>
    <dxf>
      <font>
        <b/>
        <i val="0"/>
        <strike val="0"/>
        <condense val="0"/>
        <extend val="0"/>
        <outline val="0"/>
        <shadow val="0"/>
        <u val="none"/>
        <vertAlign val="baseline"/>
        <sz val="12"/>
        <color auto="1"/>
        <name val="Arial"/>
        <family val="2"/>
        <scheme val="none"/>
      </font>
      <numFmt numFmtId="35" formatCode="_(* #,##0.00_);_(* \(#,##0.00\);_(* &quot;-&quot;??_);_(@_)"/>
      <alignment horizontal="centerContinuous" vertical="bottom" textRotation="0" wrapText="0" indent="0" justifyLastLine="0" shrinkToFit="0" readingOrder="0"/>
      <border diagonalUp="0" diagonalDown="0" outline="0">
        <left style="thin">
          <color indexed="64"/>
        </left>
        <right style="thin">
          <color indexed="64"/>
        </right>
        <top/>
        <bottom style="medium">
          <color indexed="64"/>
        </bottom>
      </border>
      <protection locked="0" hidden="0"/>
    </dxf>
    <dxf>
      <font>
        <b val="0"/>
        <i val="0"/>
        <strike val="0"/>
        <condense val="0"/>
        <extend val="0"/>
        <outline val="0"/>
        <shadow val="0"/>
        <u val="none"/>
        <vertAlign val="baseline"/>
        <sz val="12"/>
        <color indexed="8"/>
        <name val="Arial"/>
        <family val="2"/>
        <scheme val="none"/>
      </font>
      <numFmt numFmtId="0" formatCode="General"/>
      <alignment horizontal="center" vertical="bottom" textRotation="0" wrapText="0" indent="0" justifyLastLine="0" shrinkToFit="1" readingOrder="0"/>
      <border diagonalUp="0" diagonalDown="0" outline="0">
        <left style="thin">
          <color indexed="64"/>
        </left>
        <right style="thin">
          <color indexed="64"/>
        </right>
        <top/>
        <bottom/>
      </border>
      <protection locked="0" hidden="0"/>
    </dxf>
    <dxf>
      <font>
        <b/>
        <i val="0"/>
        <strike val="0"/>
        <condense val="0"/>
        <extend val="0"/>
        <outline val="0"/>
        <shadow val="0"/>
        <u val="none"/>
        <vertAlign val="baseline"/>
        <sz val="12"/>
        <color auto="1"/>
        <name val="Arial"/>
        <family val="2"/>
        <scheme val="none"/>
      </font>
      <numFmt numFmtId="35" formatCode="_(* #,##0.00_);_(* \(#,##0.00\);_(* &quot;-&quot;??_);_(@_)"/>
      <alignment horizontal="left" vertical="bottom" textRotation="0" wrapText="0" indent="0" justifyLastLine="0" shrinkToFit="0" readingOrder="0"/>
      <border diagonalUp="0" diagonalDown="0" outline="0">
        <left style="thin">
          <color indexed="64"/>
        </left>
        <right style="thin">
          <color indexed="64"/>
        </right>
        <top/>
        <bottom style="medium">
          <color indexed="64"/>
        </bottom>
      </border>
      <protection locked="0" hidden="0"/>
    </dxf>
    <dxf>
      <font>
        <b val="0"/>
        <i val="0"/>
        <strike val="0"/>
        <condense val="0"/>
        <extend val="0"/>
        <outline val="0"/>
        <shadow val="0"/>
        <u val="none"/>
        <vertAlign val="baseline"/>
        <sz val="12"/>
        <color indexed="8"/>
        <name val="Arial"/>
        <family val="2"/>
        <scheme val="none"/>
      </font>
      <alignment horizontal="center" vertical="bottom" textRotation="0" wrapText="0" indent="0" justifyLastLine="0" shrinkToFit="1" readingOrder="0"/>
      <border diagonalUp="0" diagonalDown="0" outline="0">
        <left style="thin">
          <color indexed="64"/>
        </left>
        <right style="thin">
          <color indexed="64"/>
        </right>
        <top/>
        <bottom/>
      </border>
      <protection locked="0" hidden="0"/>
    </dxf>
    <dxf>
      <font>
        <b/>
        <i val="0"/>
        <strike val="0"/>
        <condense val="0"/>
        <extend val="0"/>
        <outline val="0"/>
        <shadow val="0"/>
        <u val="none"/>
        <vertAlign val="baseline"/>
        <sz val="12"/>
        <color auto="1"/>
        <name val="Arial"/>
        <family val="2"/>
        <scheme val="none"/>
      </font>
      <alignment horizontal="center" vertical="bottom" textRotation="0" wrapText="0" indent="0" justifyLastLine="0" shrinkToFit="0" readingOrder="0"/>
      <border diagonalUp="0" diagonalDown="0" outline="0">
        <left style="thin">
          <color indexed="64"/>
        </left>
        <right style="thin">
          <color indexed="64"/>
        </right>
        <top/>
        <bottom style="medium">
          <color indexed="64"/>
        </bottom>
      </border>
      <protection locked="0" hidden="0"/>
    </dxf>
    <dxf>
      <font>
        <b val="0"/>
        <i val="0"/>
        <strike val="0"/>
        <condense val="0"/>
        <extend val="0"/>
        <outline val="0"/>
        <shadow val="0"/>
        <u val="none"/>
        <vertAlign val="baseline"/>
        <sz val="12"/>
        <color indexed="8"/>
        <name val="Arial"/>
        <family val="2"/>
        <scheme val="none"/>
      </font>
      <alignment horizontal="center" vertical="bottom" textRotation="0" wrapText="0" indent="0" justifyLastLine="0" shrinkToFit="1" readingOrder="0"/>
      <border diagonalUp="0" diagonalDown="0" outline="0">
        <left style="thin">
          <color indexed="64"/>
        </left>
        <right style="thin">
          <color indexed="64"/>
        </right>
        <top/>
        <bottom/>
      </border>
      <protection locked="0" hidden="0"/>
    </dxf>
    <dxf>
      <font>
        <b/>
        <i val="0"/>
        <strike val="0"/>
        <condense val="0"/>
        <extend val="0"/>
        <outline val="0"/>
        <shadow val="0"/>
        <u val="none"/>
        <vertAlign val="baseline"/>
        <sz val="12"/>
        <color auto="1"/>
        <name val="Arial"/>
        <family val="2"/>
        <scheme val="none"/>
      </font>
      <alignment horizontal="center" vertical="bottom" textRotation="0" wrapText="0" indent="0" justifyLastLine="0" shrinkToFit="0" readingOrder="0"/>
      <border diagonalUp="0" diagonalDown="0" outline="0">
        <left style="thin">
          <color indexed="64"/>
        </left>
        <right style="thin">
          <color indexed="64"/>
        </right>
        <top/>
        <bottom style="medium">
          <color indexed="64"/>
        </bottom>
      </border>
      <protection locked="0" hidden="0"/>
    </dxf>
    <dxf>
      <font>
        <strike val="0"/>
        <outline val="0"/>
        <shadow val="0"/>
        <u val="none"/>
        <vertAlign val="baseline"/>
        <sz val="12"/>
      </font>
      <alignment horizontal="center" vertical="bottom" textRotation="0" indent="0" justifyLastLine="0" readingOrder="0"/>
    </dxf>
    <dxf>
      <font>
        <b/>
        <i val="0"/>
        <strike val="0"/>
        <condense val="0"/>
        <extend val="0"/>
        <outline val="0"/>
        <shadow val="0"/>
        <u val="none"/>
        <vertAlign val="baseline"/>
        <sz val="12"/>
        <color auto="1"/>
        <name val="Arial"/>
        <family val="2"/>
        <scheme val="none"/>
      </font>
      <alignment horizontal="centerContinuous" vertical="bottom" textRotation="0" wrapText="0" indent="0" justifyLastLine="0" shrinkToFit="0" readingOrder="0"/>
      <border diagonalUp="0" diagonalDown="0" outline="0">
        <left style="thin">
          <color indexed="64"/>
        </left>
        <right style="thin">
          <color indexed="64"/>
        </right>
        <top/>
        <bottom style="medium">
          <color indexed="64"/>
        </bottom>
      </border>
      <protection locked="0" hidden="0"/>
    </dxf>
    <dxf>
      <font>
        <strike val="0"/>
        <outline val="0"/>
        <shadow val="0"/>
        <u val="none"/>
        <vertAlign val="baseline"/>
        <sz val="12"/>
      </font>
      <alignment vertical="bottom" textRotation="0" indent="0" justifyLastLine="0" readingOrder="0"/>
    </dxf>
    <dxf>
      <font>
        <b/>
        <i val="0"/>
        <strike val="0"/>
        <condense val="0"/>
        <extend val="0"/>
        <outline val="0"/>
        <shadow val="0"/>
        <u val="none"/>
        <vertAlign val="baseline"/>
        <sz val="12"/>
        <color auto="1"/>
        <name val="Arial"/>
        <family val="2"/>
        <scheme val="none"/>
      </font>
      <alignment horizontal="centerContinuous" vertical="bottom" textRotation="0" wrapText="0" indent="0" justifyLastLine="0" shrinkToFit="0" readingOrder="0"/>
      <border diagonalUp="0" diagonalDown="0" outline="0">
        <left/>
        <right style="thin">
          <color indexed="64"/>
        </right>
        <top/>
        <bottom style="medium">
          <color indexed="64"/>
        </bottom>
      </border>
      <protection locked="0" hidden="0"/>
    </dxf>
    <dxf>
      <font>
        <b val="0"/>
        <i val="0"/>
        <strike val="0"/>
        <condense val="0"/>
        <extend val="0"/>
        <outline val="0"/>
        <shadow val="0"/>
        <u val="none"/>
        <vertAlign val="baseline"/>
        <sz val="12"/>
        <color indexed="9"/>
        <name val="Arial"/>
        <family val="2"/>
        <scheme val="none"/>
      </font>
      <fill>
        <patternFill patternType="solid">
          <fgColor indexed="64"/>
          <bgColor indexed="9"/>
        </patternFill>
      </fill>
      <alignment horizontal="center" vertical="bottom" textRotation="0" wrapText="0" indent="0" justifyLastLine="0" shrinkToFit="0" readingOrder="0"/>
      <border diagonalUp="0" diagonalDown="0" outline="0">
        <left/>
        <right style="thin">
          <color indexed="64"/>
        </right>
        <top/>
        <bottom/>
      </border>
      <protection locked="0" hidden="0"/>
    </dxf>
    <dxf>
      <font>
        <b/>
        <i val="0"/>
        <strike val="0"/>
        <condense val="0"/>
        <extend val="0"/>
        <outline val="0"/>
        <shadow val="0"/>
        <u val="none"/>
        <vertAlign val="baseline"/>
        <sz val="12"/>
        <color auto="1"/>
        <name val="Arial"/>
        <family val="2"/>
        <scheme val="none"/>
      </font>
      <alignment horizontal="centerContinuous" vertical="bottom" textRotation="0" wrapText="0" indent="0" justifyLastLine="0" shrinkToFit="0" readingOrder="0"/>
      <border diagonalUp="0" diagonalDown="0" outline="0">
        <left style="medium">
          <color indexed="64"/>
        </left>
        <right style="thin">
          <color indexed="64"/>
        </right>
        <top/>
        <bottom style="medium">
          <color indexed="64"/>
        </bottom>
      </border>
      <protection locked="0" hidden="0"/>
    </dxf>
    <dxf>
      <font>
        <strike val="0"/>
        <outline val="0"/>
        <shadow val="0"/>
        <u val="none"/>
        <vertAlign val="baseline"/>
        <sz val="12"/>
      </font>
      <alignment vertical="bottom" textRotation="0" indent="0" justifyLastLine="0" readingOrder="0"/>
      <border diagonalUp="0" diagonalDown="0" outline="0">
        <left style="medium">
          <color indexed="64"/>
        </left>
      </border>
    </dxf>
    <dxf>
      <font>
        <b/>
        <strike val="0"/>
        <outline val="0"/>
        <shadow val="0"/>
        <u val="none"/>
        <vertAlign val="baseline"/>
        <sz val="12"/>
        <color auto="1"/>
        <name val="Arial"/>
        <family val="2"/>
        <scheme val="none"/>
      </font>
      <alignment vertical="bottom" textRotation="0" wrapText="0" indent="0" justifyLastLine="0" shrinkToFit="0" readingOrder="0"/>
      <border diagonalUp="0" diagonalDown="0" outline="0">
        <left style="thin">
          <color rgb="FF000000"/>
        </left>
        <right style="thin">
          <color rgb="FF000000"/>
        </right>
        <top/>
        <bottom/>
      </border>
    </dxf>
    <dxf>
      <border diagonalUp="0" diagonalDown="0">
        <left style="medium">
          <color rgb="FF000000"/>
        </left>
        <right style="medium">
          <color rgb="FF000000"/>
        </right>
        <top style="medium">
          <color rgb="FF000000"/>
        </top>
        <bottom style="medium">
          <color rgb="FF000000"/>
        </bottom>
      </border>
    </dxf>
    <dxf>
      <font>
        <strike val="0"/>
        <outline val="0"/>
        <shadow val="0"/>
        <u val="none"/>
        <vertAlign val="baseline"/>
        <name val="Arial"/>
        <scheme val="none"/>
      </font>
      <alignment textRotation="0" indent="0" justifyLastLine="0" readingOrder="0"/>
      <border diagonalUp="0" diagonalDown="0" outline="0"/>
      <protection locked="0" hidden="0"/>
    </dxf>
    <dxf>
      <font>
        <strike val="0"/>
        <outline val="0"/>
        <shadow val="0"/>
        <u val="none"/>
        <vertAlign val="baseline"/>
        <sz val="12"/>
        <color theme="1"/>
        <name val="Arial"/>
        <scheme val="none"/>
      </font>
      <alignment horizontal="center" vertical="center" textRotation="0" wrapText="1" indent="0" justifyLastLine="0" shrinkToFit="0" readingOrder="0"/>
      <border diagonalUp="0" diagonalDown="0" outline="0">
        <left style="thin">
          <color indexed="64"/>
        </left>
        <right style="thin">
          <color indexed="64"/>
        </right>
        <top/>
        <bottom/>
      </border>
      <protection locked="0" hidden="0"/>
    </dxf>
    <dxf>
      <font>
        <b/>
        <i val="0"/>
        <strike val="0"/>
        <condense val="0"/>
        <extend val="0"/>
        <outline val="0"/>
        <shadow val="0"/>
        <u val="none"/>
        <vertAlign val="baseline"/>
        <sz val="12"/>
        <color auto="1"/>
        <name val="Arial"/>
        <family val="2"/>
        <scheme val="none"/>
      </font>
      <alignment horizontal="centerContinuous" vertical="bottom" textRotation="0" wrapText="0" indent="0" justifyLastLine="0" shrinkToFit="0" readingOrder="0"/>
      <border diagonalUp="0" diagonalDown="0">
        <left style="thin">
          <color indexed="64"/>
        </left>
        <right style="thin">
          <color indexed="64"/>
        </right>
        <top/>
        <bottom/>
        <vertical style="thin">
          <color indexed="64"/>
        </vertical>
        <horizontal/>
      </border>
      <protection locked="0" hidden="0"/>
    </dxf>
    <dxf>
      <font>
        <strike val="0"/>
        <outline val="0"/>
        <shadow val="0"/>
        <u val="none"/>
        <vertAlign val="baseline"/>
        <sz val="14"/>
        <name val="Tahoma"/>
        <family val="2"/>
        <scheme val="none"/>
      </font>
      <alignment textRotation="0" indent="0" justifyLastLine="0" readingOrder="0"/>
      <border diagonalUp="0" diagonalDown="0" outline="0"/>
      <protection locked="0" hidden="0"/>
    </dxf>
    <dxf>
      <font>
        <b/>
        <i val="0"/>
        <strike val="0"/>
        <condense val="0"/>
        <extend val="0"/>
        <outline val="0"/>
        <shadow val="0"/>
        <u val="none"/>
        <vertAlign val="baseline"/>
        <sz val="12"/>
        <color auto="1"/>
        <name val="Arial"/>
        <family val="2"/>
        <scheme val="none"/>
      </font>
      <numFmt numFmtId="35" formatCode="_(* #,##0.00_);_(* \(#,##0.00\);_(* &quot;-&quot;??_);_(@_)"/>
      <alignment horizontal="center" vertical="bottom" textRotation="0" wrapText="0" indent="0" justifyLastLine="0" shrinkToFit="0" readingOrder="0"/>
      <border diagonalUp="0" diagonalDown="0" outline="0">
        <left style="thin">
          <color auto="1"/>
        </left>
        <right style="thin">
          <color auto="1"/>
        </right>
        <top style="thin">
          <color auto="1"/>
        </top>
        <bottom style="thin">
          <color auto="1"/>
        </bottom>
      </border>
      <protection locked="0" hidden="0"/>
    </dxf>
    <dxf>
      <font>
        <strike val="0"/>
        <outline val="0"/>
        <shadow val="0"/>
        <u val="none"/>
        <vertAlign val="baseline"/>
        <sz val="14"/>
        <name val="Tahoma"/>
        <family val="2"/>
        <scheme val="none"/>
      </font>
      <alignment horizontal="center" textRotation="0" indent="0" justifyLastLine="0" shrinkToFit="0" readingOrder="0"/>
    </dxf>
    <dxf>
      <font>
        <b/>
        <i val="0"/>
        <strike val="0"/>
        <condense val="0"/>
        <extend val="0"/>
        <outline val="0"/>
        <shadow val="0"/>
        <u val="none"/>
        <vertAlign val="baseline"/>
        <sz val="12"/>
        <color auto="1"/>
        <name val="Arial"/>
        <family val="2"/>
        <scheme val="none"/>
      </font>
      <numFmt numFmtId="35" formatCode="_(* #,##0.00_);_(* \(#,##0.00\);_(* &quot;-&quot;??_);_(@_)"/>
      <alignment horizontal="centerContinuous" vertical="bottom" textRotation="0" wrapText="0" indent="0" justifyLastLine="0" shrinkToFit="0" readingOrder="0"/>
      <border diagonalUp="0" diagonalDown="0" outline="0">
        <left style="thin">
          <color auto="1"/>
        </left>
        <right style="thin">
          <color auto="1"/>
        </right>
        <top style="thin">
          <color auto="1"/>
        </top>
        <bottom style="thin">
          <color auto="1"/>
        </bottom>
      </border>
      <protection locked="0" hidden="0"/>
    </dxf>
    <dxf>
      <font>
        <strike val="0"/>
        <outline val="0"/>
        <shadow val="0"/>
        <u val="none"/>
        <vertAlign val="baseline"/>
        <sz val="14"/>
        <name val="Tahoma"/>
        <family val="2"/>
        <scheme val="none"/>
      </font>
      <alignment horizontal="center" vertical="bottom" textRotation="0" wrapText="0" indent="0" justifyLastLine="0" shrinkToFit="0" readingOrder="0"/>
      <border diagonalUp="0" diagonalDown="0" outline="0">
        <left style="thin">
          <color indexed="64"/>
        </left>
        <right style="thin">
          <color indexed="64"/>
        </right>
        <top style="dotted">
          <color indexed="53"/>
        </top>
        <bottom style="dotted">
          <color indexed="53"/>
        </bottom>
      </border>
      <protection locked="0" hidden="0"/>
    </dxf>
    <dxf>
      <font>
        <b/>
        <i val="0"/>
        <strike val="0"/>
        <condense val="0"/>
        <extend val="0"/>
        <outline val="0"/>
        <shadow val="0"/>
        <u val="none"/>
        <vertAlign val="baseline"/>
        <sz val="12"/>
        <color auto="1"/>
        <name val="Arial"/>
        <family val="2"/>
        <scheme val="none"/>
      </font>
      <numFmt numFmtId="35" formatCode="_(* #,##0.00_);_(* \(#,##0.00\);_(* &quot;-&quot;??_);_(@_)"/>
      <alignment horizontal="centerContinuous" vertical="bottom" textRotation="0" wrapText="0" indent="0" justifyLastLine="0" shrinkToFit="0" readingOrder="0"/>
      <border diagonalUp="0" diagonalDown="0" outline="0">
        <left style="thin">
          <color auto="1"/>
        </left>
        <right style="thin">
          <color auto="1"/>
        </right>
        <top style="thin">
          <color auto="1"/>
        </top>
        <bottom style="thin">
          <color auto="1"/>
        </bottom>
      </border>
      <protection locked="0" hidden="0"/>
    </dxf>
    <dxf>
      <font>
        <strike val="0"/>
        <outline val="0"/>
        <shadow val="0"/>
        <u val="none"/>
        <vertAlign val="baseline"/>
        <sz val="14"/>
        <name val="Tahoma"/>
        <family val="2"/>
        <scheme val="none"/>
      </font>
    </dxf>
    <dxf>
      <font>
        <b/>
        <i val="0"/>
        <strike val="0"/>
        <condense val="0"/>
        <extend val="0"/>
        <outline val="0"/>
        <shadow val="0"/>
        <u val="none"/>
        <vertAlign val="baseline"/>
        <sz val="12"/>
        <color auto="1"/>
        <name val="Arial"/>
        <family val="2"/>
        <scheme val="none"/>
      </font>
      <numFmt numFmtId="35" formatCode="_(* #,##0.00_);_(* \(#,##0.00\);_(* &quot;-&quot;??_);_(@_)"/>
      <fill>
        <patternFill patternType="solid">
          <fgColor indexed="64"/>
          <bgColor rgb="FFFFFF00"/>
        </patternFill>
      </fill>
      <alignment horizontal="centerContinuous" vertical="bottom" textRotation="0" wrapText="0" indent="0" justifyLastLine="0" shrinkToFit="0" readingOrder="0"/>
      <border diagonalUp="0" diagonalDown="0" outline="0">
        <left style="thin">
          <color auto="1"/>
        </left>
        <right style="thin">
          <color auto="1"/>
        </right>
        <top style="thin">
          <color auto="1"/>
        </top>
        <bottom style="thin">
          <color auto="1"/>
        </bottom>
      </border>
      <protection locked="0" hidden="0"/>
    </dxf>
    <dxf>
      <font>
        <b/>
        <strike val="0"/>
        <outline val="0"/>
        <shadow val="0"/>
        <u val="none"/>
        <vertAlign val="baseline"/>
        <sz val="14"/>
        <name val="Tahoma"/>
        <family val="2"/>
        <scheme val="none"/>
      </font>
    </dxf>
    <dxf>
      <font>
        <b/>
        <i val="0"/>
        <strike val="0"/>
        <condense val="0"/>
        <extend val="0"/>
        <outline val="0"/>
        <shadow val="0"/>
        <u val="none"/>
        <vertAlign val="baseline"/>
        <sz val="12"/>
        <color auto="1"/>
        <name val="Arial"/>
        <family val="2"/>
        <scheme val="none"/>
      </font>
      <numFmt numFmtId="35" formatCode="_(* #,##0.00_);_(* \(#,##0.00\);_(* &quot;-&quot;??_);_(@_)"/>
      <alignment horizontal="centerContinuous" vertical="bottom" textRotation="0" wrapText="0" indent="0" justifyLastLine="0" shrinkToFit="0" readingOrder="0"/>
      <border diagonalUp="0" diagonalDown="0" outline="0">
        <left style="thin">
          <color auto="1"/>
        </left>
        <right style="thin">
          <color auto="1"/>
        </right>
        <top style="thin">
          <color auto="1"/>
        </top>
        <bottom style="thin">
          <color auto="1"/>
        </bottom>
      </border>
      <protection locked="0" hidden="0"/>
    </dxf>
    <dxf>
      <font>
        <b/>
        <strike val="0"/>
        <outline val="0"/>
        <shadow val="0"/>
        <u val="none"/>
        <vertAlign val="baseline"/>
        <sz val="14"/>
        <name val="Tahoma"/>
        <family val="2"/>
        <scheme val="none"/>
      </font>
      <fill>
        <patternFill patternType="solid">
          <fgColor indexed="64"/>
          <bgColor theme="6" tint="0.79998168889431442"/>
        </patternFill>
      </fill>
      <border diagonalUp="0" diagonalDown="0" outline="0">
        <left style="thin">
          <color indexed="64"/>
        </left>
        <right/>
      </border>
    </dxf>
    <dxf>
      <font>
        <b/>
        <i val="0"/>
        <strike val="0"/>
        <condense val="0"/>
        <extend val="0"/>
        <outline val="0"/>
        <shadow val="0"/>
        <u val="none"/>
        <vertAlign val="baseline"/>
        <sz val="12"/>
        <color auto="1"/>
        <name val="Arial"/>
        <family val="2"/>
        <scheme val="none"/>
      </font>
      <numFmt numFmtId="35" formatCode="_(* #,##0.00_);_(* \(#,##0.00\);_(* &quot;-&quot;??_);_(@_)"/>
      <alignment horizontal="centerContinuous" vertical="bottom" textRotation="0" wrapText="0" indent="0" justifyLastLine="0" shrinkToFit="0" readingOrder="0"/>
      <border diagonalUp="0" diagonalDown="0" outline="0">
        <left style="thin">
          <color auto="1"/>
        </left>
        <right style="thin">
          <color auto="1"/>
        </right>
        <top style="thin">
          <color auto="1"/>
        </top>
        <bottom style="thin">
          <color auto="1"/>
        </bottom>
      </border>
      <protection locked="0" hidden="0"/>
    </dxf>
    <dxf>
      <font>
        <b/>
        <i val="0"/>
        <strike val="0"/>
        <condense val="0"/>
        <extend val="0"/>
        <outline val="0"/>
        <shadow val="0"/>
        <u val="none"/>
        <vertAlign val="baseline"/>
        <sz val="12"/>
        <color auto="1"/>
        <name val="Arial"/>
        <family val="2"/>
        <scheme val="none"/>
      </font>
      <numFmt numFmtId="35" formatCode="_(* #,##0.00_);_(* \(#,##0.00\);_(* &quot;-&quot;??_);_(@_)"/>
      <alignment horizontal="centerContinuous" vertical="bottom" textRotation="0" wrapText="0" indent="0" justifyLastLine="0" shrinkToFit="0" readingOrder="0"/>
      <border diagonalUp="0" diagonalDown="0" outline="0">
        <left style="thin">
          <color auto="1"/>
        </left>
        <right style="thin">
          <color auto="1"/>
        </right>
        <top style="thin">
          <color auto="1"/>
        </top>
        <bottom style="thin">
          <color auto="1"/>
        </bottom>
      </border>
      <protection locked="0" hidden="0"/>
    </dxf>
    <dxf>
      <font>
        <b/>
        <i val="0"/>
        <strike val="0"/>
        <condense val="0"/>
        <extend val="0"/>
        <outline val="0"/>
        <shadow val="0"/>
        <u val="none"/>
        <vertAlign val="baseline"/>
        <sz val="12"/>
        <color auto="1"/>
        <name val="Arial"/>
        <family val="2"/>
        <scheme val="none"/>
      </font>
      <numFmt numFmtId="35" formatCode="_(* #,##0.00_);_(* \(#,##0.00\);_(* &quot;-&quot;??_);_(@_)"/>
      <alignment horizontal="centerContinuous" vertical="bottom" textRotation="0" wrapText="0" indent="0" justifyLastLine="0" shrinkToFit="0" readingOrder="0"/>
      <border diagonalUp="0" diagonalDown="0" outline="0">
        <left style="thin">
          <color auto="1"/>
        </left>
        <right style="thin">
          <color auto="1"/>
        </right>
        <top style="thin">
          <color auto="1"/>
        </top>
        <bottom style="thin">
          <color auto="1"/>
        </bottom>
      </border>
      <protection locked="0" hidden="0"/>
    </dxf>
    <dxf>
      <font>
        <b/>
        <i val="0"/>
        <strike val="0"/>
        <condense val="0"/>
        <extend val="0"/>
        <outline val="0"/>
        <shadow val="0"/>
        <u val="none"/>
        <vertAlign val="baseline"/>
        <sz val="12"/>
        <color auto="1"/>
        <name val="Arial"/>
        <family val="2"/>
        <scheme val="none"/>
      </font>
      <numFmt numFmtId="35" formatCode="_(* #,##0.00_);_(* \(#,##0.00\);_(* &quot;-&quot;??_);_(@_)"/>
      <alignment horizontal="centerContinuous" vertical="bottom" textRotation="0" wrapText="0" indent="0" justifyLastLine="0" shrinkToFit="0" readingOrder="0"/>
      <border diagonalUp="0" diagonalDown="0" outline="0">
        <left style="thin">
          <color auto="1"/>
        </left>
        <right style="thin">
          <color auto="1"/>
        </right>
        <top style="thin">
          <color auto="1"/>
        </top>
        <bottom style="thin">
          <color auto="1"/>
        </bottom>
      </border>
      <protection locked="0" hidden="0"/>
    </dxf>
    <dxf>
      <font>
        <strike val="0"/>
        <outline val="0"/>
        <shadow val="0"/>
        <u val="none"/>
        <vertAlign val="baseline"/>
        <sz val="14"/>
        <name val="Tahoma"/>
        <family val="2"/>
        <scheme val="none"/>
      </font>
      <border diagonalUp="0" diagonalDown="0" outline="0">
        <left style="medium">
          <color indexed="64"/>
        </left>
      </border>
    </dxf>
    <dxf>
      <font>
        <b/>
        <i val="0"/>
        <strike val="0"/>
        <condense val="0"/>
        <extend val="0"/>
        <outline val="0"/>
        <shadow val="0"/>
        <u val="none"/>
        <vertAlign val="baseline"/>
        <sz val="12"/>
        <color auto="1"/>
        <name val="Arial"/>
        <family val="2"/>
        <scheme val="none"/>
      </font>
      <numFmt numFmtId="35" formatCode="_(* #,##0.00_);_(* \(#,##0.00\);_(* &quot;-&quot;??_);_(@_)"/>
      <alignment horizontal="centerContinuous" vertical="bottom" textRotation="0" wrapText="0" indent="0" justifyLastLine="0" shrinkToFit="0" readingOrder="0"/>
      <border diagonalUp="0" diagonalDown="0" outline="0">
        <left style="thin">
          <color auto="1"/>
        </left>
        <right style="thin">
          <color auto="1"/>
        </right>
        <top style="thin">
          <color auto="1"/>
        </top>
        <bottom style="thin">
          <color auto="1"/>
        </bottom>
      </border>
      <protection locked="0" hidden="0"/>
    </dxf>
    <dxf>
      <font>
        <b/>
        <i val="0"/>
        <strike val="0"/>
        <condense val="0"/>
        <extend val="0"/>
        <outline val="0"/>
        <shadow val="0"/>
        <u val="none"/>
        <vertAlign val="baseline"/>
        <sz val="14"/>
        <color indexed="8"/>
        <name val="Tahoma"/>
        <family val="2"/>
        <scheme val="none"/>
      </font>
      <fill>
        <patternFill patternType="solid">
          <fgColor indexed="64"/>
          <bgColor theme="0" tint="-0.14999847407452621"/>
        </patternFill>
      </fill>
      <alignment horizontal="general" vertical="center" textRotation="0" wrapText="0" indent="0" justifyLastLine="0" shrinkToFit="0" readingOrder="0"/>
      <border diagonalUp="0" diagonalDown="0" outline="0">
        <left style="thin">
          <color indexed="64"/>
        </left>
        <right style="thin">
          <color indexed="64"/>
        </right>
        <top/>
        <bottom/>
      </border>
      <protection locked="0" hidden="0"/>
    </dxf>
    <dxf>
      <font>
        <b/>
        <i val="0"/>
        <strike val="0"/>
        <condense val="0"/>
        <extend val="0"/>
        <outline val="0"/>
        <shadow val="0"/>
        <u val="none"/>
        <vertAlign val="baseline"/>
        <sz val="12"/>
        <color auto="1"/>
        <name val="Arial"/>
        <family val="2"/>
        <scheme val="none"/>
      </font>
      <numFmt numFmtId="35" formatCode="_(* #,##0.00_);_(* \(#,##0.00\);_(* &quot;-&quot;??_);_(@_)"/>
      <alignment horizontal="centerContinuous" vertical="bottom" textRotation="0" wrapText="0" indent="0" justifyLastLine="0" shrinkToFit="0" readingOrder="0"/>
      <border diagonalUp="0" diagonalDown="0" outline="0">
        <left style="thin">
          <color auto="1"/>
        </left>
        <right style="thin">
          <color auto="1"/>
        </right>
        <top style="thin">
          <color auto="1"/>
        </top>
        <bottom style="thin">
          <color auto="1"/>
        </bottom>
      </border>
      <protection locked="0" hidden="0"/>
    </dxf>
    <dxf>
      <font>
        <b val="0"/>
        <i val="0"/>
        <strike val="0"/>
        <condense val="0"/>
        <extend val="0"/>
        <outline val="0"/>
        <shadow val="0"/>
        <u val="none"/>
        <vertAlign val="baseline"/>
        <sz val="14"/>
        <color indexed="8"/>
        <name val="Tahoma"/>
        <family val="2"/>
        <scheme val="none"/>
      </font>
      <fill>
        <patternFill patternType="solid">
          <fgColor indexed="64"/>
          <bgColor rgb="FFF9FFDD"/>
        </patternFill>
      </fill>
      <alignment horizontal="general" vertical="center" textRotation="0" wrapText="0" indent="0" justifyLastLine="0" shrinkToFit="0" readingOrder="0"/>
      <border diagonalUp="0" diagonalDown="0" outline="0">
        <left style="thin">
          <color indexed="64"/>
        </left>
        <right style="thin">
          <color indexed="64"/>
        </right>
        <top/>
        <bottom/>
      </border>
      <protection locked="0" hidden="0"/>
    </dxf>
    <dxf>
      <font>
        <b/>
        <i val="0"/>
        <strike val="0"/>
        <condense val="0"/>
        <extend val="0"/>
        <outline val="0"/>
        <shadow val="0"/>
        <u val="none"/>
        <vertAlign val="baseline"/>
        <sz val="12"/>
        <color auto="1"/>
        <name val="Arial"/>
        <family val="2"/>
        <scheme val="none"/>
      </font>
      <numFmt numFmtId="35" formatCode="_(* #,##0.00_);_(* \(#,##0.00\);_(* &quot;-&quot;??_);_(@_)"/>
      <alignment horizontal="centerContinuous" vertical="bottom" textRotation="0" wrapText="0" indent="0" justifyLastLine="0" shrinkToFit="0" readingOrder="0"/>
      <border diagonalUp="0" diagonalDown="0" outline="0">
        <left style="thin">
          <color auto="1"/>
        </left>
        <right style="thin">
          <color auto="1"/>
        </right>
        <top style="thin">
          <color auto="1"/>
        </top>
        <bottom style="thin">
          <color auto="1"/>
        </bottom>
      </border>
      <protection locked="0" hidden="0"/>
    </dxf>
    <dxf>
      <font>
        <strike val="0"/>
        <outline val="0"/>
        <shadow val="0"/>
        <u val="none"/>
        <vertAlign val="baseline"/>
        <sz val="14"/>
        <name val="Tahoma"/>
        <family val="2"/>
        <scheme val="none"/>
      </font>
      <fill>
        <patternFill patternType="solid">
          <fgColor indexed="64"/>
          <bgColor rgb="FFF9FFDD"/>
        </patternFill>
      </fill>
      <border diagonalUp="0" diagonalDown="0" outline="0">
        <left style="thin">
          <color indexed="64"/>
        </left>
        <right style="thin">
          <color indexed="64"/>
        </right>
      </border>
    </dxf>
    <dxf>
      <font>
        <strike val="0"/>
        <outline val="0"/>
        <shadow val="0"/>
        <u val="none"/>
        <vertAlign val="baseline"/>
        <sz val="14"/>
        <name val="Tahoma"/>
        <family val="2"/>
        <scheme val="none"/>
      </font>
      <border diagonalUp="0" diagonalDown="0" outline="0">
        <right style="thin">
          <color indexed="64"/>
        </right>
      </border>
    </dxf>
    <dxf>
      <font>
        <strike val="0"/>
        <outline val="0"/>
        <shadow val="0"/>
        <u val="none"/>
        <vertAlign val="baseline"/>
        <sz val="14"/>
        <name val="Tahoma"/>
        <family val="2"/>
        <scheme val="none"/>
      </font>
      <border diagonalUp="0" diagonalDown="0" outline="0">
        <right style="thin">
          <color indexed="64"/>
        </right>
      </border>
    </dxf>
    <dxf>
      <font>
        <b/>
        <i val="0"/>
        <strike val="0"/>
        <condense val="0"/>
        <extend val="0"/>
        <outline val="0"/>
        <shadow val="0"/>
        <u val="none"/>
        <vertAlign val="baseline"/>
        <sz val="12"/>
        <color auto="1"/>
        <name val="Arial"/>
        <family val="2"/>
        <scheme val="none"/>
      </font>
      <numFmt numFmtId="35" formatCode="_(* #,##0.00_);_(* \(#,##0.00\);_(* &quot;-&quot;??_);_(@_)"/>
      <alignment horizontal="centerContinuous" vertical="bottom" textRotation="0" wrapText="0" indent="0" justifyLastLine="0" shrinkToFit="0" readingOrder="0"/>
      <border diagonalUp="0" diagonalDown="0" outline="0">
        <left style="thin">
          <color auto="1"/>
        </left>
        <right style="thin">
          <color auto="1"/>
        </right>
        <top style="thin">
          <color auto="1"/>
        </top>
        <bottom style="thin">
          <color auto="1"/>
        </bottom>
      </border>
      <protection locked="0" hidden="0"/>
    </dxf>
    <dxf>
      <font>
        <b/>
        <i val="0"/>
        <strike val="0"/>
        <condense val="0"/>
        <extend val="0"/>
        <outline val="0"/>
        <shadow val="0"/>
        <u val="none"/>
        <vertAlign val="baseline"/>
        <sz val="12"/>
        <color auto="1"/>
        <name val="Arial"/>
        <family val="2"/>
        <scheme val="none"/>
      </font>
      <numFmt numFmtId="35" formatCode="_(* #,##0.00_);_(* \(#,##0.00\);_(* &quot;-&quot;??_);_(@_)"/>
      <alignment horizontal="centerContinuous" vertical="bottom" textRotation="0" wrapText="0" indent="0" justifyLastLine="0" shrinkToFit="0" readingOrder="0"/>
      <border diagonalUp="0" diagonalDown="0" outline="0">
        <left style="thin">
          <color auto="1"/>
        </left>
        <right style="thin">
          <color auto="1"/>
        </right>
        <top style="thin">
          <color auto="1"/>
        </top>
        <bottom style="thin">
          <color auto="1"/>
        </bottom>
      </border>
      <protection locked="0" hidden="0"/>
    </dxf>
    <dxf>
      <font>
        <b/>
        <i val="0"/>
        <strike val="0"/>
        <condense val="0"/>
        <extend val="0"/>
        <outline val="0"/>
        <shadow val="0"/>
        <u val="none"/>
        <vertAlign val="baseline"/>
        <sz val="12"/>
        <color auto="1"/>
        <name val="Arial"/>
        <family val="2"/>
        <scheme val="none"/>
      </font>
      <numFmt numFmtId="35" formatCode="_(* #,##0.00_);_(* \(#,##0.00\);_(* &quot;-&quot;??_);_(@_)"/>
      <alignment horizontal="centerContinuous" vertical="bottom" textRotation="0" wrapText="0" indent="0" justifyLastLine="0" shrinkToFit="0" readingOrder="0"/>
      <border diagonalUp="0" diagonalDown="0" outline="0">
        <left style="thin">
          <color auto="1"/>
        </left>
        <right style="thin">
          <color auto="1"/>
        </right>
        <top style="thin">
          <color auto="1"/>
        </top>
        <bottom style="thin">
          <color auto="1"/>
        </bottom>
      </border>
      <protection locked="0" hidden="0"/>
    </dxf>
    <dxf>
      <font>
        <strike val="0"/>
        <outline val="0"/>
        <shadow val="0"/>
        <u val="none"/>
        <vertAlign val="baseline"/>
        <sz val="14"/>
        <name val="Tahoma"/>
        <family val="2"/>
        <scheme val="none"/>
      </font>
      <alignment horizontal="center" textRotation="0" indent="0" justifyLastLine="0" readingOrder="0"/>
      <border diagonalUp="0" diagonalDown="0" outline="0">
        <left style="medium">
          <color indexed="64"/>
        </left>
      </border>
    </dxf>
    <dxf>
      <font>
        <b/>
        <i val="0"/>
        <strike val="0"/>
        <condense val="0"/>
        <extend val="0"/>
        <outline val="0"/>
        <shadow val="0"/>
        <u val="none"/>
        <vertAlign val="baseline"/>
        <sz val="12"/>
        <color auto="1"/>
        <name val="Arial"/>
        <family val="2"/>
        <scheme val="none"/>
      </font>
      <numFmt numFmtId="35" formatCode="_(* #,##0.00_);_(* \(#,##0.00\);_(* &quot;-&quot;??_);_(@_)"/>
      <alignment horizontal="centerContinuous" vertical="bottom" textRotation="0" wrapText="0" indent="0" justifyLastLine="0" shrinkToFit="0" readingOrder="0"/>
      <border diagonalUp="0" diagonalDown="0" outline="0">
        <left style="thin">
          <color auto="1"/>
        </left>
        <right style="thin">
          <color auto="1"/>
        </right>
        <top style="thin">
          <color auto="1"/>
        </top>
        <bottom style="thin">
          <color auto="1"/>
        </bottom>
      </border>
      <protection locked="0" hidden="0"/>
    </dxf>
    <dxf>
      <font>
        <b/>
        <i val="0"/>
        <strike val="0"/>
        <condense val="0"/>
        <extend val="0"/>
        <outline val="0"/>
        <shadow val="0"/>
        <u val="none"/>
        <vertAlign val="baseline"/>
        <sz val="12"/>
        <color auto="1"/>
        <name val="Arial"/>
        <family val="2"/>
        <scheme val="none"/>
      </font>
      <numFmt numFmtId="35" formatCode="_(* #,##0.00_);_(* \(#,##0.00\);_(* &quot;-&quot;??_);_(@_)"/>
      <alignment horizontal="centerContinuous" vertical="bottom" textRotation="0" wrapText="0" indent="0" justifyLastLine="0" shrinkToFit="0" readingOrder="0"/>
      <border diagonalUp="0" diagonalDown="0" outline="0">
        <left style="thin">
          <color auto="1"/>
        </left>
        <right style="thin">
          <color auto="1"/>
        </right>
        <top style="thin">
          <color auto="1"/>
        </top>
        <bottom style="thin">
          <color auto="1"/>
        </bottom>
      </border>
      <protection locked="0" hidden="0"/>
    </dxf>
    <dxf>
      <font>
        <b/>
        <i val="0"/>
        <strike val="0"/>
        <condense val="0"/>
        <extend val="0"/>
        <outline val="0"/>
        <shadow val="0"/>
        <u val="none"/>
        <vertAlign val="baseline"/>
        <sz val="12"/>
        <color auto="1"/>
        <name val="Arial"/>
        <family val="2"/>
        <scheme val="none"/>
      </font>
      <numFmt numFmtId="35" formatCode="_(* #,##0.00_);_(* \(#,##0.00\);_(* &quot;-&quot;??_);_(@_)"/>
      <alignment horizontal="centerContinuous" vertical="bottom" textRotation="0" wrapText="0" indent="0" justifyLastLine="0" shrinkToFit="0" readingOrder="0"/>
      <border diagonalUp="0" diagonalDown="0" outline="0">
        <left style="thin">
          <color auto="1"/>
        </left>
        <right style="thin">
          <color auto="1"/>
        </right>
        <top style="thin">
          <color auto="1"/>
        </top>
        <bottom style="thin">
          <color auto="1"/>
        </bottom>
      </border>
      <protection locked="0" hidden="0"/>
    </dxf>
    <dxf>
      <font>
        <b/>
        <i val="0"/>
        <strike val="0"/>
        <condense val="0"/>
        <extend val="0"/>
        <outline val="0"/>
        <shadow val="0"/>
        <u val="none"/>
        <vertAlign val="baseline"/>
        <sz val="12"/>
        <color auto="1"/>
        <name val="Arial"/>
        <family val="2"/>
        <scheme val="none"/>
      </font>
      <numFmt numFmtId="35" formatCode="_(* #,##0.00_);_(* \(#,##0.00\);_(* &quot;-&quot;??_);_(@_)"/>
      <alignment horizontal="centerContinuous" vertical="bottom" textRotation="0" wrapText="0" indent="0" justifyLastLine="0" shrinkToFit="0" readingOrder="0"/>
      <border diagonalUp="0" diagonalDown="0" outline="0">
        <left style="thin">
          <color auto="1"/>
        </left>
        <right style="thin">
          <color auto="1"/>
        </right>
        <top style="thin">
          <color auto="1"/>
        </top>
        <bottom style="thin">
          <color auto="1"/>
        </bottom>
      </border>
      <protection locked="0" hidden="0"/>
    </dxf>
    <dxf>
      <font>
        <b/>
        <strike val="0"/>
        <outline val="0"/>
        <shadow val="0"/>
        <u val="none"/>
        <vertAlign val="baseline"/>
        <sz val="14"/>
        <name val="Tahoma"/>
        <family val="2"/>
        <scheme val="none"/>
      </font>
      <fill>
        <patternFill patternType="solid">
          <fgColor indexed="64"/>
          <bgColor theme="6" tint="0.79998168889431442"/>
        </patternFill>
      </fill>
    </dxf>
    <dxf>
      <font>
        <b/>
        <i val="0"/>
        <strike val="0"/>
        <condense val="0"/>
        <extend val="0"/>
        <outline val="0"/>
        <shadow val="0"/>
        <u val="none"/>
        <vertAlign val="baseline"/>
        <sz val="12"/>
        <color auto="1"/>
        <name val="Arial"/>
        <family val="2"/>
        <scheme val="none"/>
      </font>
      <numFmt numFmtId="35" formatCode="_(* #,##0.00_);_(* \(#,##0.00\);_(* &quot;-&quot;??_);_(@_)"/>
      <alignment horizontal="centerContinuous" vertical="bottom" textRotation="0" wrapText="0" indent="0" justifyLastLine="0" shrinkToFit="0" readingOrder="0"/>
      <border diagonalUp="0" diagonalDown="0" outline="0">
        <left style="thin">
          <color auto="1"/>
        </left>
        <right style="thin">
          <color auto="1"/>
        </right>
        <top style="thin">
          <color auto="1"/>
        </top>
        <bottom style="thin">
          <color auto="1"/>
        </bottom>
      </border>
      <protection locked="0" hidden="0"/>
    </dxf>
    <dxf>
      <font>
        <strike val="0"/>
        <outline val="0"/>
        <shadow val="0"/>
        <u val="none"/>
        <vertAlign val="baseline"/>
        <sz val="14"/>
        <name val="Tahoma"/>
        <family val="2"/>
        <scheme val="none"/>
      </font>
    </dxf>
    <dxf>
      <font>
        <b/>
        <i val="0"/>
        <strike val="0"/>
        <condense val="0"/>
        <extend val="0"/>
        <outline val="0"/>
        <shadow val="0"/>
        <u val="none"/>
        <vertAlign val="baseline"/>
        <sz val="12"/>
        <color auto="1"/>
        <name val="Arial"/>
        <family val="2"/>
        <scheme val="none"/>
      </font>
      <numFmt numFmtId="35" formatCode="_(* #,##0.00_);_(* \(#,##0.00\);_(* &quot;-&quot;??_);_(@_)"/>
      <alignment horizontal="centerContinuous" vertical="bottom" textRotation="0" wrapText="0" indent="0" justifyLastLine="0" shrinkToFit="0" readingOrder="0"/>
      <border diagonalUp="0" diagonalDown="0" outline="0">
        <left style="thin">
          <color auto="1"/>
        </left>
        <right style="thin">
          <color auto="1"/>
        </right>
        <top style="thin">
          <color auto="1"/>
        </top>
        <bottom style="thin">
          <color auto="1"/>
        </bottom>
      </border>
      <protection locked="0" hidden="0"/>
    </dxf>
    <dxf>
      <font>
        <b val="0"/>
        <i val="0"/>
        <strike val="0"/>
        <condense val="0"/>
        <extend val="0"/>
        <outline val="0"/>
        <shadow val="0"/>
        <u val="none"/>
        <vertAlign val="baseline"/>
        <sz val="14"/>
        <color indexed="8"/>
        <name val="Tahoma"/>
        <family val="2"/>
        <scheme val="none"/>
      </font>
      <alignment horizontal="center" vertical="center" textRotation="0" wrapText="0" indent="0" justifyLastLine="0" shrinkToFit="1" readingOrder="0"/>
      <border diagonalUp="0" diagonalDown="0" outline="0">
        <left style="thin">
          <color indexed="64"/>
        </left>
        <right style="thin">
          <color indexed="64"/>
        </right>
        <top/>
        <bottom/>
      </border>
      <protection locked="0" hidden="0"/>
    </dxf>
    <dxf>
      <font>
        <b/>
        <i val="0"/>
        <strike val="0"/>
        <condense val="0"/>
        <extend val="0"/>
        <outline val="0"/>
        <shadow val="0"/>
        <u val="none"/>
        <vertAlign val="baseline"/>
        <sz val="12"/>
        <color auto="1"/>
        <name val="Arial"/>
        <family val="2"/>
        <scheme val="none"/>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double">
          <color indexed="64"/>
        </bottom>
      </border>
      <protection locked="0" hidden="0"/>
    </dxf>
    <dxf>
      <font>
        <strike val="0"/>
        <outline val="0"/>
        <shadow val="0"/>
        <u val="none"/>
        <vertAlign val="baseline"/>
        <sz val="14"/>
        <name val="Tahoma"/>
        <family val="2"/>
        <scheme val="none"/>
      </font>
    </dxf>
    <dxf>
      <font>
        <b/>
        <i val="0"/>
        <strike val="0"/>
        <condense val="0"/>
        <extend val="0"/>
        <outline val="0"/>
        <shadow val="0"/>
        <u val="none"/>
        <vertAlign val="baseline"/>
        <sz val="12"/>
        <color auto="1"/>
        <name val="Arial"/>
        <family val="2"/>
        <scheme val="none"/>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double">
          <color indexed="64"/>
        </bottom>
      </border>
      <protection locked="0" hidden="0"/>
    </dxf>
    <dxf>
      <font>
        <strike val="0"/>
        <outline val="0"/>
        <shadow val="0"/>
        <u val="none"/>
        <vertAlign val="baseline"/>
        <sz val="14"/>
        <name val="Tahoma"/>
        <family val="2"/>
        <scheme val="none"/>
      </font>
    </dxf>
    <dxf>
      <font>
        <b/>
        <i val="0"/>
        <strike val="0"/>
        <condense val="0"/>
        <extend val="0"/>
        <outline val="0"/>
        <shadow val="0"/>
        <u val="none"/>
        <vertAlign val="baseline"/>
        <sz val="12"/>
        <color auto="1"/>
        <name val="Arial"/>
        <family val="2"/>
        <scheme val="none"/>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double">
          <color indexed="64"/>
        </bottom>
      </border>
      <protection locked="0" hidden="0"/>
    </dxf>
    <dxf>
      <font>
        <b/>
        <i val="0"/>
        <strike val="0"/>
        <condense val="0"/>
        <extend val="0"/>
        <outline val="0"/>
        <shadow val="0"/>
        <u val="none"/>
        <vertAlign val="baseline"/>
        <sz val="12"/>
        <color auto="1"/>
        <name val="Arial"/>
        <family val="2"/>
        <scheme val="none"/>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double">
          <color indexed="64"/>
        </bottom>
      </border>
      <protection locked="0" hidden="0"/>
    </dxf>
    <dxf>
      <font>
        <strike val="0"/>
        <outline val="0"/>
        <shadow val="0"/>
        <u val="none"/>
        <vertAlign val="baseline"/>
        <sz val="14"/>
        <name val="Tahoma"/>
        <family val="2"/>
        <scheme val="none"/>
      </font>
      <border outline="0">
        <left style="thin">
          <color indexed="64"/>
        </left>
      </border>
    </dxf>
    <dxf>
      <font>
        <b/>
        <i val="0"/>
        <strike val="0"/>
        <condense val="0"/>
        <extend val="0"/>
        <outline val="0"/>
        <shadow val="0"/>
        <u val="none"/>
        <vertAlign val="baseline"/>
        <sz val="12"/>
        <color auto="1"/>
        <name val="Arial"/>
        <family val="2"/>
        <scheme val="none"/>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double">
          <color indexed="64"/>
        </bottom>
      </border>
      <protection locked="0" hidden="0"/>
    </dxf>
    <dxf>
      <font>
        <strike val="0"/>
        <outline val="0"/>
        <shadow val="0"/>
        <u val="none"/>
        <vertAlign val="baseline"/>
        <sz val="14"/>
        <name val="Tahoma"/>
        <family val="2"/>
        <scheme val="none"/>
      </font>
      <fill>
        <patternFill patternType="none">
          <fgColor indexed="64"/>
          <bgColor auto="1"/>
        </patternFill>
      </fill>
    </dxf>
    <dxf>
      <font>
        <strike val="0"/>
        <outline val="0"/>
        <shadow val="0"/>
        <u val="none"/>
        <vertAlign val="baseline"/>
        <sz val="14"/>
        <color theme="1"/>
        <name val="Tahoma"/>
        <family val="2"/>
        <scheme val="none"/>
      </font>
      <border outline="0">
        <left style="thin">
          <color indexed="64"/>
        </left>
        <right style="medium">
          <color indexed="64"/>
        </right>
      </border>
    </dxf>
    <dxf>
      <font>
        <b/>
        <i val="0"/>
        <strike val="0"/>
        <condense val="0"/>
        <extend val="0"/>
        <outline val="0"/>
        <shadow val="0"/>
        <u val="none"/>
        <vertAlign val="baseline"/>
        <sz val="12"/>
        <color auto="1"/>
        <name val="Arial"/>
        <family val="2"/>
        <scheme val="none"/>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double">
          <color indexed="64"/>
        </bottom>
      </border>
      <protection locked="0" hidden="0"/>
    </dxf>
    <dxf>
      <font>
        <strike val="0"/>
        <outline val="0"/>
        <shadow val="0"/>
        <u val="none"/>
        <vertAlign val="baseline"/>
        <sz val="14"/>
        <name val="Tahoma"/>
        <family val="2"/>
        <scheme val="none"/>
      </font>
      <fill>
        <patternFill patternType="none">
          <fgColor indexed="64"/>
          <bgColor auto="1"/>
        </patternFill>
      </fill>
      <border outline="0">
        <left style="thin">
          <color indexed="64"/>
        </left>
        <right style="thin">
          <color indexed="64"/>
        </right>
      </border>
    </dxf>
    <dxf>
      <font>
        <b/>
        <i val="0"/>
        <strike val="0"/>
        <condense val="0"/>
        <extend val="0"/>
        <outline val="0"/>
        <shadow val="0"/>
        <u val="none"/>
        <vertAlign val="baseline"/>
        <sz val="12"/>
        <color auto="1"/>
        <name val="Arial"/>
        <family val="2"/>
        <scheme val="none"/>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double">
          <color indexed="64"/>
        </bottom>
      </border>
      <protection locked="0" hidden="0"/>
    </dxf>
    <dxf>
      <font>
        <b val="0"/>
        <i val="0"/>
        <strike val="0"/>
        <condense val="0"/>
        <extend val="0"/>
        <outline val="0"/>
        <shadow val="0"/>
        <u val="none"/>
        <vertAlign val="baseline"/>
        <sz val="14"/>
        <color indexed="8"/>
        <name val="Tahoma"/>
        <family val="2"/>
        <scheme val="none"/>
      </font>
      <fill>
        <patternFill patternType="none">
          <fgColor indexed="64"/>
          <bgColor auto="1"/>
        </patternFill>
      </fill>
      <alignment horizontal="center" vertical="center" textRotation="0" wrapText="0" indent="0" justifyLastLine="0" shrinkToFit="1" readingOrder="0"/>
      <border diagonalUp="0" diagonalDown="0" outline="0">
        <left style="thin">
          <color indexed="64"/>
        </left>
        <right style="thin">
          <color indexed="64"/>
        </right>
        <top/>
        <bottom/>
      </border>
      <protection locked="0" hidden="0"/>
    </dxf>
    <dxf>
      <font>
        <b val="0"/>
        <strike val="0"/>
        <outline val="0"/>
        <shadow val="0"/>
        <u val="none"/>
        <vertAlign val="baseline"/>
        <sz val="14"/>
        <color indexed="8"/>
        <name val="Tahoma"/>
        <family val="2"/>
        <scheme val="none"/>
      </font>
      <fill>
        <patternFill patternType="none">
          <fgColor indexed="64"/>
          <bgColor auto="1"/>
        </patternFill>
      </fill>
      <alignment horizontal="center" vertical="center" textRotation="0" wrapText="0" indent="0" justifyLastLine="0" shrinkToFit="1" readingOrder="0"/>
      <border diagonalUp="0" diagonalDown="0" outline="0">
        <left style="thin">
          <color indexed="64"/>
        </left>
        <right style="thin">
          <color indexed="64"/>
        </right>
        <top/>
        <bottom/>
      </border>
      <protection locked="0" hidden="0"/>
    </dxf>
    <dxf>
      <font>
        <b/>
        <i val="0"/>
        <strike val="0"/>
        <condense val="0"/>
        <extend val="0"/>
        <outline val="0"/>
        <shadow val="0"/>
        <u val="none"/>
        <vertAlign val="baseline"/>
        <sz val="12"/>
        <color auto="1"/>
        <name val="Arial"/>
        <family val="2"/>
        <scheme val="none"/>
      </font>
      <alignment horizontal="centerContinuous" vertical="bottom" textRotation="0" wrapText="0" indent="0" justifyLastLine="0" shrinkToFit="0" readingOrder="0"/>
      <border diagonalUp="0" diagonalDown="0" outline="0">
        <left style="thin">
          <color indexed="64"/>
        </left>
        <right style="thin">
          <color indexed="64"/>
        </right>
        <top style="thin">
          <color indexed="64"/>
        </top>
        <bottom style="double">
          <color indexed="64"/>
        </bottom>
      </border>
      <protection locked="0" hidden="0"/>
    </dxf>
    <dxf>
      <font>
        <strike val="0"/>
        <outline val="0"/>
        <shadow val="0"/>
        <u val="none"/>
        <vertAlign val="baseline"/>
        <sz val="14"/>
        <name val="Tahoma"/>
        <family val="2"/>
        <scheme val="none"/>
      </font>
      <fill>
        <patternFill patternType="none">
          <fgColor indexed="64"/>
          <bgColor auto="1"/>
        </patternFill>
      </fill>
      <border outline="0">
        <left style="thin">
          <color indexed="64"/>
        </left>
      </border>
    </dxf>
    <dxf>
      <font>
        <b/>
        <i val="0"/>
        <strike val="0"/>
        <condense val="0"/>
        <extend val="0"/>
        <outline val="0"/>
        <shadow val="0"/>
        <u val="none"/>
        <vertAlign val="baseline"/>
        <sz val="12"/>
        <color auto="1"/>
        <name val="Arial"/>
        <family val="2"/>
        <scheme val="none"/>
      </font>
      <alignment horizontal="centerContinuous" vertical="bottom" textRotation="0" wrapText="0" indent="0" justifyLastLine="0" shrinkToFit="0" readingOrder="0"/>
      <border diagonalUp="0" diagonalDown="0" outline="0">
        <left style="thin">
          <color indexed="64"/>
        </left>
        <right style="thin">
          <color indexed="64"/>
        </right>
        <top style="thin">
          <color indexed="64"/>
        </top>
        <bottom style="double">
          <color indexed="64"/>
        </bottom>
      </border>
      <protection locked="0" hidden="0"/>
    </dxf>
    <dxf>
      <font>
        <b val="0"/>
        <i val="0"/>
        <strike val="0"/>
        <condense val="0"/>
        <extend val="0"/>
        <outline val="0"/>
        <shadow val="0"/>
        <u val="none"/>
        <vertAlign val="baseline"/>
        <sz val="14"/>
        <color indexed="9"/>
        <name val="Tahoma"/>
        <family val="2"/>
        <scheme val="none"/>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bottom/>
      </border>
      <protection locked="0" hidden="0"/>
    </dxf>
    <dxf>
      <font>
        <b/>
        <i val="0"/>
        <strike val="0"/>
        <condense val="0"/>
        <extend val="0"/>
        <outline val="0"/>
        <shadow val="0"/>
        <u val="none"/>
        <vertAlign val="baseline"/>
        <sz val="12"/>
        <color auto="1"/>
        <name val="Arial"/>
        <family val="2"/>
        <scheme val="none"/>
      </font>
      <alignment horizontal="centerContinuous" vertical="bottom" textRotation="0" wrapText="0" indent="0" justifyLastLine="0" shrinkToFit="0" readingOrder="0"/>
      <border diagonalUp="0" diagonalDown="0" outline="0">
        <left style="thin">
          <color indexed="64"/>
        </left>
        <right style="thin">
          <color indexed="64"/>
        </right>
        <top style="thin">
          <color indexed="64"/>
        </top>
        <bottom style="double">
          <color indexed="64"/>
        </bottom>
      </border>
      <protection locked="0" hidden="0"/>
    </dxf>
    <dxf>
      <font>
        <b/>
        <i val="0"/>
        <strike val="0"/>
        <condense val="0"/>
        <extend val="0"/>
        <outline val="0"/>
        <shadow val="0"/>
        <u val="none"/>
        <vertAlign val="baseline"/>
        <sz val="12"/>
        <color auto="1"/>
        <name val="Arial"/>
        <family val="2"/>
        <scheme val="none"/>
      </font>
      <alignment horizontal="centerContinuous" vertical="bottom" textRotation="0" wrapText="0" indent="0" justifyLastLine="0" shrinkToFit="0" readingOrder="0"/>
      <border diagonalUp="0" diagonalDown="0" outline="0">
        <left style="thin">
          <color indexed="64"/>
        </left>
        <right style="thin">
          <color indexed="64"/>
        </right>
        <top style="thin">
          <color indexed="64"/>
        </top>
        <bottom style="double">
          <color indexed="64"/>
        </bottom>
      </border>
      <protection locked="0" hidden="0"/>
    </dxf>
    <dxf>
      <font>
        <strike val="0"/>
        <outline val="0"/>
        <shadow val="0"/>
        <u val="none"/>
        <vertAlign val="baseline"/>
        <sz val="14"/>
        <name val="Tahoma"/>
        <family val="2"/>
        <scheme val="none"/>
      </font>
      <fill>
        <patternFill patternType="none">
          <fgColor indexed="64"/>
          <bgColor auto="1"/>
        </patternFill>
      </fill>
    </dxf>
    <dxf>
      <border>
        <top style="thin">
          <color indexed="64"/>
        </top>
      </border>
    </dxf>
    <dxf>
      <font>
        <b/>
        <strike val="0"/>
        <outline val="0"/>
        <shadow val="0"/>
        <u val="none"/>
        <vertAlign val="baseline"/>
        <sz val="12"/>
        <color auto="1"/>
        <name val="Arial"/>
        <family val="2"/>
        <scheme val="none"/>
      </font>
      <alignment vertical="bottom" textRotation="0" wrapText="0" indent="0" justifyLastLine="0" shrinkToFit="0" readingOrder="0"/>
      <border diagonalUp="0" diagonalDown="0">
        <left style="thin">
          <color indexed="64"/>
        </left>
        <right style="thin">
          <color indexed="64"/>
        </right>
        <top/>
        <bottom/>
        <vertical style="thin">
          <color indexed="64"/>
        </vertical>
        <horizontal/>
      </border>
    </dxf>
    <dxf>
      <border diagonalUp="0" diagonalDown="0">
        <left style="medium">
          <color rgb="FF000000"/>
        </left>
        <right style="medium">
          <color rgb="FF000000"/>
        </right>
        <top style="medium">
          <color rgb="FF000000"/>
        </top>
        <bottom style="medium">
          <color rgb="FF000000"/>
        </bottom>
      </border>
    </dxf>
    <dxf>
      <font>
        <strike val="0"/>
        <outline val="0"/>
        <shadow val="0"/>
        <u val="none"/>
        <vertAlign val="baseline"/>
        <sz val="14"/>
        <name val="Tahoma"/>
        <family val="2"/>
        <scheme val="none"/>
      </font>
      <alignment textRotation="0" indent="0" justifyLastLine="0" readingOrder="0"/>
      <border diagonalUp="0" diagonalDown="0" outline="0"/>
      <protection locked="0" hidden="0"/>
    </dxf>
    <dxf>
      <font>
        <strike val="0"/>
        <outline val="0"/>
        <shadow val="0"/>
        <u val="none"/>
        <vertAlign val="baseline"/>
        <sz val="14"/>
        <color theme="1"/>
        <name val="Tahoma"/>
        <family val="2"/>
        <scheme val="none"/>
      </font>
      <alignment horizontal="center" vertical="center" textRotation="0" wrapText="1" indent="0" justifyLastLine="0" shrinkToFit="0" readingOrder="0"/>
      <border diagonalUp="0" diagonalDown="0" outline="0">
        <left style="thin">
          <color indexed="64"/>
        </left>
        <right style="thin">
          <color indexed="64"/>
        </right>
        <top/>
        <bottom/>
      </border>
      <protection locked="0" hidden="0"/>
    </dxf>
  </dxfs>
  <tableStyles count="0" defaultTableStyle="TableStyleMedium2" defaultPivotStyle="PivotStyleLight16"/>
  <colors>
    <mruColors>
      <color rgb="FFCCECFF"/>
      <color rgb="FFA4C7FA"/>
      <color rgb="FFFDE9F4"/>
      <color rgb="FFFCDCEE"/>
      <color rgb="FF0000FF"/>
      <color rgb="FFDACCFC"/>
      <color rgb="FFF9FFDD"/>
      <color rgb="FF000099"/>
      <color rgb="FFC0A9F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2</xdr:col>
      <xdr:colOff>1358900</xdr:colOff>
      <xdr:row>57</xdr:row>
      <xdr:rowOff>140758</xdr:rowOff>
    </xdr:from>
    <xdr:to>
      <xdr:col>4</xdr:col>
      <xdr:colOff>428625</xdr:colOff>
      <xdr:row>58</xdr:row>
      <xdr:rowOff>15027</xdr:rowOff>
    </xdr:to>
    <xdr:sp macro="" textlink="">
      <xdr:nvSpPr>
        <xdr:cNvPr id="2" name="Text Box 2">
          <a:extLst>
            <a:ext uri="{FF2B5EF4-FFF2-40B4-BE49-F238E27FC236}">
              <a16:creationId xmlns:a16="http://schemas.microsoft.com/office/drawing/2014/main" id="{00000000-0008-0000-0200-000002000000}"/>
            </a:ext>
          </a:extLst>
        </xdr:cNvPr>
        <xdr:cNvSpPr txBox="1">
          <a:spLocks noChangeArrowheads="1"/>
        </xdr:cNvSpPr>
      </xdr:nvSpPr>
      <xdr:spPr bwMode="auto">
        <a:xfrm>
          <a:off x="3263900" y="13256683"/>
          <a:ext cx="2946400" cy="45719"/>
        </a:xfrm>
        <a:prstGeom prst="rect">
          <a:avLst/>
        </a:prstGeom>
        <a:noFill/>
        <a:ln>
          <a:noFill/>
        </a:ln>
        <a:effectLst/>
      </xdr:spPr>
      <xdr:txBody>
        <a:bodyPr rot="0" vert="horz" wrap="square" lIns="91440" tIns="45720" rIns="91440" bIns="45720" anchor="t" anchorCtr="0">
          <a:noAutofit/>
        </a:bodyPr>
        <a:lstStyle/>
        <a:p>
          <a:pPr algn="ctr"/>
          <a:r>
            <a:rPr lang="th-TH" sz="1600" b="1">
              <a:effectLst/>
              <a:latin typeface="Angsana New" panose="02020603050405020304" pitchFamily="18" charset="-34"/>
              <a:ea typeface="Times New Roman" panose="02020603050405020304" pitchFamily="18" charset="0"/>
              <a:cs typeface="Angsana New" panose="02020603050405020304" pitchFamily="18" charset="-34"/>
            </a:rPr>
            <a:t>ลงชื่อ ....................................................................</a:t>
          </a:r>
          <a:endParaRPr lang="en-US" sz="1600">
            <a:effectLst/>
            <a:latin typeface="Angsana New" panose="02020603050405020304" pitchFamily="18" charset="-34"/>
            <a:ea typeface="Times New Roman" panose="02020603050405020304" pitchFamily="18" charset="0"/>
            <a:cs typeface="Angsana New" panose="02020603050405020304" pitchFamily="18" charset="-34"/>
          </a:endParaRPr>
        </a:p>
        <a:p>
          <a:pPr algn="ctr"/>
          <a:r>
            <a:rPr lang="th-TH" sz="1600" b="1">
              <a:effectLst/>
              <a:latin typeface="Angsana New" panose="02020603050405020304" pitchFamily="18" charset="-34"/>
              <a:ea typeface="Times New Roman" panose="02020603050405020304" pitchFamily="18" charset="0"/>
              <a:cs typeface="Angsana New" panose="02020603050405020304" pitchFamily="18" charset="-34"/>
            </a:rPr>
            <a:t>(คุณจินตนา</a:t>
          </a:r>
          <a:r>
            <a:rPr lang="th-TH" sz="1600" b="1" baseline="0">
              <a:effectLst/>
              <a:latin typeface="Angsana New" panose="02020603050405020304" pitchFamily="18" charset="-34"/>
              <a:ea typeface="Times New Roman" panose="02020603050405020304" pitchFamily="18" charset="0"/>
              <a:cs typeface="Angsana New" panose="02020603050405020304" pitchFamily="18" charset="-34"/>
            </a:rPr>
            <a:t> อ้อยหวาน</a:t>
          </a:r>
          <a:r>
            <a:rPr lang="th-TH" sz="1600" b="1">
              <a:effectLst/>
              <a:latin typeface="Angsana New" panose="02020603050405020304" pitchFamily="18" charset="-34"/>
              <a:ea typeface="Times New Roman" panose="02020603050405020304" pitchFamily="18" charset="0"/>
              <a:cs typeface="Angsana New" panose="02020603050405020304" pitchFamily="18" charset="-34"/>
            </a:rPr>
            <a:t>)</a:t>
          </a:r>
        </a:p>
        <a:p>
          <a:pPr algn="ctr"/>
          <a:r>
            <a:rPr lang="en-US" sz="1600" b="1">
              <a:effectLst/>
              <a:latin typeface="Angsana New" panose="02020603050405020304" pitchFamily="18" charset="-34"/>
              <a:ea typeface="Times New Roman" panose="02020603050405020304" pitchFamily="18" charset="0"/>
              <a:cs typeface="Angsana New" panose="02020603050405020304" pitchFamily="18" charset="-34"/>
            </a:rPr>
            <a:t>Assistant Sales Manager</a:t>
          </a:r>
          <a:endParaRPr lang="en-US" sz="1400" b="1">
            <a:effectLst/>
            <a:latin typeface="Angsana New" panose="02020603050405020304" pitchFamily="18" charset="-34"/>
            <a:ea typeface="Times New Roman" panose="02020603050405020304" pitchFamily="18" charset="0"/>
            <a:cs typeface="Angsana New" panose="02020603050405020304" pitchFamily="18" charset="-34"/>
          </a:endParaRPr>
        </a:p>
      </xdr:txBody>
    </xdr:sp>
    <xdr:clientData/>
  </xdr:twoCellAnchor>
  <xdr:twoCellAnchor>
    <xdr:from>
      <xdr:col>5</xdr:col>
      <xdr:colOff>1064386</xdr:colOff>
      <xdr:row>58</xdr:row>
      <xdr:rowOff>107</xdr:rowOff>
    </xdr:from>
    <xdr:to>
      <xdr:col>9</xdr:col>
      <xdr:colOff>693618</xdr:colOff>
      <xdr:row>58</xdr:row>
      <xdr:rowOff>107</xdr:rowOff>
    </xdr:to>
    <xdr:sp macro="" textlink="">
      <xdr:nvSpPr>
        <xdr:cNvPr id="5" name="Text Box 2">
          <a:extLst>
            <a:ext uri="{FF2B5EF4-FFF2-40B4-BE49-F238E27FC236}">
              <a16:creationId xmlns:a16="http://schemas.microsoft.com/office/drawing/2014/main" id="{0F700A61-B14B-41CA-95B2-ADCC19411B6A}"/>
            </a:ext>
          </a:extLst>
        </xdr:cNvPr>
        <xdr:cNvSpPr txBox="1">
          <a:spLocks noChangeArrowheads="1"/>
        </xdr:cNvSpPr>
      </xdr:nvSpPr>
      <xdr:spPr bwMode="auto">
        <a:xfrm>
          <a:off x="7931911" y="13287482"/>
          <a:ext cx="3982157" cy="0"/>
        </a:xfrm>
        <a:prstGeom prst="rect">
          <a:avLst/>
        </a:prstGeom>
        <a:noFill/>
        <a:ln>
          <a:noFill/>
        </a:ln>
        <a:effectLst/>
      </xdr:spPr>
      <xdr:txBody>
        <a:bodyPr rot="0" vert="horz" wrap="square" lIns="91440" tIns="45720" rIns="91440" bIns="45720" anchor="t" anchorCtr="0">
          <a:noAutofit/>
        </a:bodyPr>
        <a:lstStyle/>
        <a:p>
          <a:pPr algn="ctr"/>
          <a:r>
            <a:rPr lang="th-TH" sz="1600" b="1">
              <a:effectLst/>
              <a:latin typeface="Angsana New" panose="02020603050405020304" pitchFamily="18" charset="-34"/>
              <a:ea typeface="Times New Roman" panose="02020603050405020304" pitchFamily="18" charset="0"/>
              <a:cs typeface="Angsana New" panose="02020603050405020304" pitchFamily="18" charset="-34"/>
            </a:rPr>
            <a:t>ลงชื่อ ............................................................</a:t>
          </a:r>
          <a:endParaRPr lang="en-US" sz="1600">
            <a:effectLst/>
            <a:latin typeface="Angsana New" panose="02020603050405020304" pitchFamily="18" charset="-34"/>
            <a:ea typeface="Times New Roman" panose="02020603050405020304" pitchFamily="18" charset="0"/>
            <a:cs typeface="Angsana New" panose="02020603050405020304" pitchFamily="18" charset="-34"/>
          </a:endParaRPr>
        </a:p>
        <a:p>
          <a:pPr algn="ctr"/>
          <a:r>
            <a:rPr lang="th-TH" sz="1600" b="1">
              <a:effectLst/>
              <a:latin typeface="Angsana New" panose="02020603050405020304" pitchFamily="18" charset="-34"/>
              <a:ea typeface="Times New Roman" panose="02020603050405020304" pitchFamily="18" charset="0"/>
              <a:cs typeface="Angsana New" panose="02020603050405020304" pitchFamily="18" charset="-34"/>
            </a:rPr>
            <a:t>(</a:t>
          </a:r>
          <a:r>
            <a:rPr lang="th-TH" sz="1600" b="1">
              <a:effectLst/>
              <a:latin typeface="Angsana New" panose="02020603050405020304" pitchFamily="18" charset="-34"/>
              <a:ea typeface="+mn-ea"/>
              <a:cs typeface="Angsana New" panose="02020603050405020304" pitchFamily="18" charset="-34"/>
            </a:rPr>
            <a:t>คุณวันวิสาข์ ประทุมเมือง</a:t>
          </a:r>
          <a:r>
            <a:rPr lang="th-TH" sz="1600" b="1">
              <a:effectLst/>
              <a:latin typeface="Angsana New" panose="02020603050405020304" pitchFamily="18" charset="-34"/>
              <a:ea typeface="Times New Roman" panose="02020603050405020304" pitchFamily="18" charset="0"/>
              <a:cs typeface="Angsana New" panose="02020603050405020304" pitchFamily="18" charset="-34"/>
            </a:rPr>
            <a:t>)</a:t>
          </a:r>
          <a:endParaRPr lang="en-US" sz="1600">
            <a:effectLst/>
            <a:latin typeface="Angsana New" panose="02020603050405020304" pitchFamily="18" charset="-34"/>
            <a:ea typeface="Times New Roman" panose="02020603050405020304" pitchFamily="18" charset="0"/>
            <a:cs typeface="Angsana New" panose="02020603050405020304" pitchFamily="18" charset="-34"/>
          </a:endParaRPr>
        </a:p>
        <a:p>
          <a:pPr algn="ctr"/>
          <a:r>
            <a:rPr lang="en-US" sz="1600" b="1">
              <a:effectLst/>
              <a:latin typeface="Angsana New" panose="02020603050405020304" pitchFamily="18" charset="-34"/>
              <a:ea typeface="Times New Roman" panose="02020603050405020304" pitchFamily="18" charset="0"/>
              <a:cs typeface="Angsana New" panose="02020603050405020304" pitchFamily="18" charset="-34"/>
            </a:rPr>
            <a:t>Deputy Managing Director of Marketing</a:t>
          </a:r>
          <a:endParaRPr lang="en-US" sz="1600">
            <a:effectLst/>
            <a:latin typeface="Angsana New" panose="02020603050405020304" pitchFamily="18" charset="-34"/>
            <a:ea typeface="Times New Roman" panose="02020603050405020304" pitchFamily="18" charset="0"/>
            <a:cs typeface="Angsana New" panose="02020603050405020304" pitchFamily="18" charset="-34"/>
          </a:endParaRPr>
        </a:p>
      </xdr:txBody>
    </xdr:sp>
    <xdr:clientData/>
  </xdr:twoCellAnchor>
  <xdr:twoCellAnchor editAs="oneCell">
    <xdr:from>
      <xdr:col>8</xdr:col>
      <xdr:colOff>857074</xdr:colOff>
      <xdr:row>109</xdr:row>
      <xdr:rowOff>35859</xdr:rowOff>
    </xdr:from>
    <xdr:to>
      <xdr:col>269</xdr:col>
      <xdr:colOff>244756</xdr:colOff>
      <xdr:row>125</xdr:row>
      <xdr:rowOff>59767</xdr:rowOff>
    </xdr:to>
    <xdr:pic>
      <xdr:nvPicPr>
        <xdr:cNvPr id="4" name="Picture 3">
          <a:extLst>
            <a:ext uri="{FF2B5EF4-FFF2-40B4-BE49-F238E27FC236}">
              <a16:creationId xmlns:a16="http://schemas.microsoft.com/office/drawing/2014/main" id="{0449F9E3-27E7-4EA1-8179-293971E70AD7}"/>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6563" r="7898"/>
        <a:stretch/>
      </xdr:blipFill>
      <xdr:spPr>
        <a:xfrm>
          <a:off x="11498180" y="21389788"/>
          <a:ext cx="5870845" cy="290404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1073149</xdr:colOff>
      <xdr:row>52</xdr:row>
      <xdr:rowOff>150283</xdr:rowOff>
    </xdr:from>
    <xdr:to>
      <xdr:col>4</xdr:col>
      <xdr:colOff>247649</xdr:colOff>
      <xdr:row>53</xdr:row>
      <xdr:rowOff>38099</xdr:rowOff>
    </xdr:to>
    <xdr:sp macro="" textlink="">
      <xdr:nvSpPr>
        <xdr:cNvPr id="12" name="Text Box 2">
          <a:extLst>
            <a:ext uri="{FF2B5EF4-FFF2-40B4-BE49-F238E27FC236}">
              <a16:creationId xmlns:a16="http://schemas.microsoft.com/office/drawing/2014/main" id="{BB2340A5-D42D-4999-8058-2F16BD56D4A5}"/>
            </a:ext>
          </a:extLst>
        </xdr:cNvPr>
        <xdr:cNvSpPr txBox="1">
          <a:spLocks noChangeArrowheads="1"/>
        </xdr:cNvSpPr>
      </xdr:nvSpPr>
      <xdr:spPr bwMode="auto">
        <a:xfrm>
          <a:off x="2978149" y="13380508"/>
          <a:ext cx="2974975" cy="68791"/>
        </a:xfrm>
        <a:prstGeom prst="rect">
          <a:avLst/>
        </a:prstGeom>
        <a:noFill/>
        <a:ln>
          <a:noFill/>
        </a:ln>
        <a:effectLst/>
      </xdr:spPr>
      <xdr:txBody>
        <a:bodyPr rot="0" vert="horz" wrap="square" lIns="91440" tIns="45720" rIns="91440" bIns="45720" anchor="t" anchorCtr="0">
          <a:noAutofit/>
        </a:bodyPr>
        <a:lstStyle/>
        <a:p>
          <a:pPr algn="ctr"/>
          <a:r>
            <a:rPr lang="th-TH" sz="1600" b="1">
              <a:effectLst/>
              <a:latin typeface="Angsana New" panose="02020603050405020304" pitchFamily="18" charset="-34"/>
              <a:ea typeface="Times New Roman" panose="02020603050405020304" pitchFamily="18" charset="0"/>
              <a:cs typeface="Angsana New" panose="02020603050405020304" pitchFamily="18" charset="-34"/>
            </a:rPr>
            <a:t>ลงชื่อ ....................................................................</a:t>
          </a:r>
          <a:endParaRPr lang="en-US" sz="1600">
            <a:effectLst/>
            <a:latin typeface="Angsana New" panose="02020603050405020304" pitchFamily="18" charset="-34"/>
            <a:ea typeface="Times New Roman" panose="02020603050405020304" pitchFamily="18" charset="0"/>
            <a:cs typeface="Angsana New" panose="02020603050405020304" pitchFamily="18" charset="-34"/>
          </a:endParaRPr>
        </a:p>
        <a:p>
          <a:pPr algn="ctr"/>
          <a:r>
            <a:rPr lang="th-TH" sz="1600" b="1">
              <a:effectLst/>
              <a:latin typeface="Angsana New" panose="02020603050405020304" pitchFamily="18" charset="-34"/>
              <a:ea typeface="Times New Roman" panose="02020603050405020304" pitchFamily="18" charset="0"/>
              <a:cs typeface="Angsana New" panose="02020603050405020304" pitchFamily="18" charset="-34"/>
            </a:rPr>
            <a:t>(คุณจินตนา อ้อยหวาน)</a:t>
          </a:r>
        </a:p>
        <a:p>
          <a:pPr algn="ctr"/>
          <a:r>
            <a:rPr lang="en-US" sz="1600" b="1">
              <a:effectLst/>
              <a:latin typeface="Angsana New" panose="02020603050405020304" pitchFamily="18" charset="-34"/>
              <a:ea typeface="Times New Roman" panose="02020603050405020304" pitchFamily="18" charset="0"/>
              <a:cs typeface="Angsana New" panose="02020603050405020304" pitchFamily="18" charset="-34"/>
            </a:rPr>
            <a:t>Sales Assistant Manager  </a:t>
          </a:r>
          <a:endParaRPr lang="en-US" sz="1400" b="1">
            <a:effectLst/>
            <a:latin typeface="Angsana New" panose="02020603050405020304" pitchFamily="18" charset="-34"/>
            <a:ea typeface="Times New Roman" panose="02020603050405020304" pitchFamily="18" charset="0"/>
            <a:cs typeface="Angsana New" panose="02020603050405020304" pitchFamily="18" charset="-34"/>
          </a:endParaRPr>
        </a:p>
      </xdr:txBody>
    </xdr:sp>
    <xdr:clientData/>
  </xdr:twoCellAnchor>
  <xdr:twoCellAnchor>
    <xdr:from>
      <xdr:col>5</xdr:col>
      <xdr:colOff>939165</xdr:colOff>
      <xdr:row>53</xdr:row>
      <xdr:rowOff>5715</xdr:rowOff>
    </xdr:from>
    <xdr:to>
      <xdr:col>9</xdr:col>
      <xdr:colOff>790805</xdr:colOff>
      <xdr:row>53</xdr:row>
      <xdr:rowOff>5715</xdr:rowOff>
    </xdr:to>
    <xdr:sp macro="" textlink="">
      <xdr:nvSpPr>
        <xdr:cNvPr id="6" name="Text Box 2">
          <a:extLst>
            <a:ext uri="{FF2B5EF4-FFF2-40B4-BE49-F238E27FC236}">
              <a16:creationId xmlns:a16="http://schemas.microsoft.com/office/drawing/2014/main" id="{6CEE5F5A-31C0-40D9-AC03-3472EC636933}"/>
            </a:ext>
          </a:extLst>
        </xdr:cNvPr>
        <xdr:cNvSpPr txBox="1">
          <a:spLocks noChangeArrowheads="1"/>
        </xdr:cNvSpPr>
      </xdr:nvSpPr>
      <xdr:spPr bwMode="auto">
        <a:xfrm>
          <a:off x="7749540" y="13416915"/>
          <a:ext cx="3985490" cy="0"/>
        </a:xfrm>
        <a:prstGeom prst="rect">
          <a:avLst/>
        </a:prstGeom>
        <a:noFill/>
        <a:ln>
          <a:noFill/>
        </a:ln>
        <a:effectLst/>
      </xdr:spPr>
      <xdr:txBody>
        <a:bodyPr rot="0" vert="horz" wrap="square" lIns="91440" tIns="45720" rIns="91440" bIns="45720" anchor="t" anchorCtr="0">
          <a:noAutofit/>
        </a:bodyPr>
        <a:lstStyle/>
        <a:p>
          <a:pPr algn="ctr"/>
          <a:r>
            <a:rPr lang="th-TH" sz="1600" b="1">
              <a:effectLst/>
              <a:latin typeface="Angsana New" panose="02020603050405020304" pitchFamily="18" charset="-34"/>
              <a:ea typeface="Times New Roman" panose="02020603050405020304" pitchFamily="18" charset="0"/>
              <a:cs typeface="Angsana New" panose="02020603050405020304" pitchFamily="18" charset="-34"/>
            </a:rPr>
            <a:t>ลงชื่อ ............................................................</a:t>
          </a:r>
          <a:endParaRPr lang="en-US" sz="1600">
            <a:effectLst/>
            <a:latin typeface="Angsana New" panose="02020603050405020304" pitchFamily="18" charset="-34"/>
            <a:ea typeface="Times New Roman" panose="02020603050405020304" pitchFamily="18" charset="0"/>
            <a:cs typeface="Angsana New" panose="02020603050405020304" pitchFamily="18" charset="-34"/>
          </a:endParaRPr>
        </a:p>
        <a:p>
          <a:pPr algn="ctr"/>
          <a:r>
            <a:rPr lang="th-TH" sz="1600" b="1">
              <a:effectLst/>
              <a:latin typeface="Angsana New" panose="02020603050405020304" pitchFamily="18" charset="-34"/>
              <a:ea typeface="Times New Roman" panose="02020603050405020304" pitchFamily="18" charset="0"/>
              <a:cs typeface="Angsana New" panose="02020603050405020304" pitchFamily="18" charset="-34"/>
            </a:rPr>
            <a:t>(</a:t>
          </a:r>
          <a:r>
            <a:rPr lang="th-TH" sz="1600" b="1">
              <a:effectLst/>
              <a:latin typeface="Angsana New" panose="02020603050405020304" pitchFamily="18" charset="-34"/>
              <a:ea typeface="+mn-ea"/>
              <a:cs typeface="Angsana New" panose="02020603050405020304" pitchFamily="18" charset="-34"/>
            </a:rPr>
            <a:t>คุณวันวิสาข์ ประทุมเมือง</a:t>
          </a:r>
          <a:r>
            <a:rPr lang="th-TH" sz="1600" b="1">
              <a:effectLst/>
              <a:latin typeface="Angsana New" panose="02020603050405020304" pitchFamily="18" charset="-34"/>
              <a:ea typeface="Times New Roman" panose="02020603050405020304" pitchFamily="18" charset="0"/>
              <a:cs typeface="Angsana New" panose="02020603050405020304" pitchFamily="18" charset="-34"/>
            </a:rPr>
            <a:t>)</a:t>
          </a:r>
          <a:endParaRPr lang="en-US" sz="1600">
            <a:effectLst/>
            <a:latin typeface="Angsana New" panose="02020603050405020304" pitchFamily="18" charset="-34"/>
            <a:ea typeface="Times New Roman" panose="02020603050405020304" pitchFamily="18" charset="0"/>
            <a:cs typeface="Angsana New" panose="02020603050405020304" pitchFamily="18" charset="-34"/>
          </a:endParaRPr>
        </a:p>
        <a:p>
          <a:pPr algn="ctr"/>
          <a:r>
            <a:rPr lang="en-US" sz="1600" b="1">
              <a:effectLst/>
              <a:latin typeface="Angsana New" panose="02020603050405020304" pitchFamily="18" charset="-34"/>
              <a:ea typeface="Times New Roman" panose="02020603050405020304" pitchFamily="18" charset="0"/>
              <a:cs typeface="Angsana New" panose="02020603050405020304" pitchFamily="18" charset="-34"/>
            </a:rPr>
            <a:t>Deputy Managing Director of Marketing</a:t>
          </a:r>
          <a:endParaRPr lang="en-US" sz="1600">
            <a:effectLst/>
            <a:latin typeface="Angsana New" panose="02020603050405020304" pitchFamily="18" charset="-34"/>
            <a:ea typeface="Times New Roman" panose="02020603050405020304" pitchFamily="18" charset="0"/>
            <a:cs typeface="Angsana New" panose="02020603050405020304" pitchFamily="18" charset="-34"/>
          </a:endParaRP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3C878C68-A372-446C-8256-BD036B6D96E7}" name="Table1351452010" displayName="Table1351452010" ref="A6:AN66" totalsRowShown="0" headerRowDxfId="110" dataDxfId="109" totalsRowDxfId="107" tableBorderDxfId="108" totalsRowBorderDxfId="106">
  <autoFilter ref="A6:AN66" xr:uid="{3C878C68-A372-446C-8256-BD036B6D96E7}"/>
  <tableColumns count="40">
    <tableColumn id="1" xr3:uid="{7A68EB0F-4EB7-4EA0-B847-CDCEDE1995D9}" name="ลำดับ" dataDxfId="105" totalsRowDxfId="104"/>
    <tableColumn id="40" xr3:uid="{10A87547-4790-421C-878A-40568A4342A0}" name="เดือนที่ปิดการขาย" totalsRowDxfId="103"/>
    <tableColumn id="7" xr3:uid="{8F6F8C50-9D55-461F-83AF-B2E29A90BB45}" name="รหัสลูกค้า" dataDxfId="102" totalsRowDxfId="101" dataCellStyle="Total"/>
    <tableColumn id="2" xr3:uid="{E91B7877-DC71-4CB9-BA7F-36CA618C37EA}" name="ชื่อเจ้าของโครงการ" dataDxfId="100" totalsRowDxfId="99"/>
    <tableColumn id="10" xr3:uid="{19271DD2-0A59-4759-AE5D-1AB63890B014}" name="Sales" dataDxfId="98" dataCellStyle="Total"/>
    <tableColumn id="5" xr3:uid="{A5848258-9033-4D9F-8296-8ECDB5D9D258}" name="บริการประเภท" dataDxfId="97" totalsRowDxfId="96" dataCellStyle="Total"/>
    <tableColumn id="24" xr3:uid="{4787A654-053B-4970-BE8C-94B3928D6967}" name="ระยะเวลาสัญญา_x000a_(เดือน)" dataDxfId="95" totalsRowDxfId="94"/>
    <tableColumn id="23" xr3:uid="{71B0D79B-1882-4676-A4CD-587CCE651620}" name="% ค่าคอมค่าบริการ_x000a_(อัตราก้าวหน้า)" dataDxfId="93"/>
    <tableColumn id="20" xr3:uid="{48B19DD3-4849-4286-91E3-FE1F20647640}" name="เดือนที่เริ่มเก็บ_x000a_ค่าบริการ" dataDxfId="92" totalsRowDxfId="91"/>
    <tableColumn id="19" xr3:uid="{4D64D369-8CC0-48C9-8408-2623DCFB69A3}" name="ค่าบริการเฉลี่ยต่อเดือน" dataDxfId="90" totalsRowDxfId="89"/>
    <tableColumn id="41" xr3:uid="{17E28F86-0280-460E-A057-B19365EC434E}" name="ต้นทุนช่องรายการ_x000a_(ถ้ามี)" totalsRowDxfId="88"/>
    <tableColumn id="18" xr3:uid="{7B85F650-D5D4-407F-894D-50A267647FC2}" name="หัก ณ ที่จ่าย_x000a_(ค่าบริการ)" dataDxfId="87" totalsRowDxfId="86"/>
    <tableColumn id="27" xr3:uid="{8F50D093-5CBA-4540-8D5B-69F0ABCFDE07}" name="มูลค่าหัก 3%" dataDxfId="85" totalsRowDxfId="84"/>
    <tableColumn id="25" xr3:uid="{448C2BE4-700B-472E-8A90-659E7D16D1C0}" name="ค่าบริการเฉลียรายเดือนตาม Package_x000a_(เรียกเก็บสุทธิ)" dataDxfId="83" totalsRowDxfId="82" dataCellStyle="Comma"/>
    <tableColumn id="28" xr3:uid="{49720FE6-4F55-473F-8AC8-5EFA4FCF11EF}" name="Total_x000a_รายการเบิก_x000a_คอมขาย_x000a_(1)" dataDxfId="81" totalsRowDxfId="80"/>
    <tableColumn id="9" xr3:uid="{E8C32789-49FE-47D8-9CC6-E6DC2865932C}" name="แบ่งจ่าย/งวด_x000a_(ตามปีสัญญา)" dataDxfId="79" totalsRowDxfId="78" dataCellStyle="Comma"/>
    <tableColumn id="36" xr3:uid="{1BD716E4-B9C4-4CAC-97E3-608F6BA2E34B}" name="ปีที่1_x000a_(ทำจ่ายรอบ 3/2025)"/>
    <tableColumn id="39" xr3:uid="{86B4988D-D2E9-4E82-87A1-9E8EB4FBD369}" name="ปีที่2" dataCellStyle="Comma"/>
    <tableColumn id="38" xr3:uid="{6FC74DCC-7D98-49E1-9DBE-381609B4257F}" name="ปีที่3" totalsRowDxfId="77" dataCellStyle="Comma"/>
    <tableColumn id="37" xr3:uid="{A23F8696-5FCA-4591-B4A1-883EF138DC52}" name="ปีที่4" totalsRowDxfId="76" dataCellStyle="Comma"/>
    <tableColumn id="21" xr3:uid="{C2838910-2F21-4DDC-8C73-E29A1127C374}" name="ปีที่5" totalsRowDxfId="75" dataCellStyle="Comma"/>
    <tableColumn id="22" xr3:uid="{EE653E92-1BD1-40DB-9031-773B3881CD5E}" name="ค่าเชื่อมสัญญาณ/_x000a_ค่าติดตั้ง/_x000a_ค่าขายอุปกรณ์" dataDxfId="74" totalsRowDxfId="73" dataCellStyle="Comma"/>
    <tableColumn id="31" xr3:uid="{81D93D84-9951-4BCA-8794-1A846E256361}" name="หัก ณ ที่จ่าย_x000a_(ค่าติตั้ง)" totalsRowDxfId="72"/>
    <tableColumn id="30" xr3:uid="{7C8640FD-82A9-4D16-A296-5D144ECD0C1F}" name="มูลค่าหัก 3%_x000a_(ค่าติดตั้ง)" totalsRowDxfId="71"/>
    <tableColumn id="32" xr3:uid="{30DB91D5-408A-49E0-98F5-877236EC415F}" name="ค่าเชื่อมสัญญาณ/_x000a_ค่าติดตั้ง/_x000a_ค่าขายอุปกรณ์_x000a_(เรียกเก็บสุทธิ)"/>
    <tableColumn id="8" xr3:uid="{3A93194E-260A-40B9-9FBF-008409553371}" name="ต้นทุน" dataDxfId="70"/>
    <tableColumn id="15" xr3:uid="{EF0497B7-59F3-4306-A5C1-08BEA2CF0E85}" name="ส่วนต่างกำไร" dataDxfId="69" dataCellStyle="Comma"/>
    <tableColumn id="6" xr3:uid="{43A73351-F329-4C6C-8D46-8406F3275AF6}" name="คอมฯ_x000a_ 5%" dataDxfId="68" totalsRowDxfId="67" dataCellStyle="Comma"/>
    <tableColumn id="26" xr3:uid="{758CBD6F-DD47-4531-8868-34976B0F62D4}" name="คอมฯ_x000a_10%" dataDxfId="66" totalsRowDxfId="65" dataCellStyle="Comma"/>
    <tableColumn id="16" xr3:uid="{78ACD765-640C-4D43-AC13-54384C4A941E}" name="Total_x000a_ค่าเชื่มสัญญาณ/ค่าติดตั้ง/_x000a_ค่าขายอุปกรณ์_x000a_(2)" dataDxfId="64" totalsRowDxfId="63" dataCellStyle="Comma"/>
    <tableColumn id="11" xr3:uid="{8011303A-D1A5-446B-B527-C3286D436110}" name="ค่าเชื่อมสัญญาณ" dataDxfId="62" totalsRowDxfId="61" dataCellStyle="Comma"/>
    <tableColumn id="35" xr3:uid="{FB852967-4C58-463A-91B0-E98097B6FA71}" name="หัก ณ ที่จ่าย_x000a_(ค่าเชื่อมสัญญาณ)" totalsRowDxfId="60"/>
    <tableColumn id="34" xr3:uid="{55AA47FC-A38B-4C13-9051-F3DF95C24ED9}" name="มูลค่าหัก 3%_x000a_(ค่าเชื่อมสัญญาณ)" totalsRowDxfId="59"/>
    <tableColumn id="33" xr3:uid="{2E84EB8F-6C92-4D66-AC15-493FC20C46C3}" name="ค่าเชื่อมสัญญาณ_x000a_(เรียกเก็บสุทธิ)" totalsRowDxfId="58"/>
    <tableColumn id="14" xr3:uid="{714892B4-1AAA-47F9-97C0-DB9B6A097513}" name="Total _x000a_คอมฯค่าเชื่อมสัญญาณ_x000a_(3)" dataDxfId="57" totalsRowDxfId="56" dataCellStyle="Comma"/>
    <tableColumn id="13" xr3:uid="{01E93865-3399-4061-A66D-18E027C46EBE}" name="รวมค่าคอมฯ" dataDxfId="55" totalsRowDxfId="54" dataCellStyle="Comma"/>
    <tableColumn id="3" xr3:uid="{E3C14B63-3A8F-4A86-98D8-22F73FF5717A}" name="เลขที่ใบกำกับ/ใบเสร็จรับเงิน" dataDxfId="53" totalsRowDxfId="52"/>
    <tableColumn id="29" xr3:uid="{19195CF2-9F31-4094-B7B0-522E55CE71CA}" name="เลขที่นำส่งเงิน_x000a_" dataDxfId="51" totalsRowDxfId="50"/>
    <tableColumn id="4" xr3:uid="{55D2584C-42D9-4C3B-B911-8FF4B7984098}" name="เขตการขาย" dataDxfId="49" totalsRowDxfId="48"/>
    <tableColumn id="12" xr3:uid="{23D9706D-4622-457E-9E38-B7755D1A566A}" name="Column1" dataDxfId="47" totalsRowDxfId="46"/>
  </tableColumns>
  <tableStyleInfo name="TableStyleLight13"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69130E4C-DC9D-4647-817A-46CABDF232F9}" name="Table13514520105" displayName="Table13514520105" ref="A5:U30" totalsRowCount="1" headerRowDxfId="45" dataDxfId="44" totalsRowDxfId="42" tableBorderDxfId="43">
  <tableColumns count="21">
    <tableColumn id="1" xr3:uid="{DF3FD6E6-D745-41F2-ADF9-CD13EAF9355A}" name="ลำดับ" dataDxfId="41" totalsRowDxfId="40"/>
    <tableColumn id="12" xr3:uid="{F4B5205B-6640-4698-B033-46648AA463E3}" name="รหัสลูกค้า" dataDxfId="39" totalsRowDxfId="38" dataCellStyle="Total"/>
    <tableColumn id="2" xr3:uid="{EFD4A409-0B37-48A4-A6D1-0EDAEA08B630}" name="ชื่อเจ้าของโครงการ" totalsRowLabel="Total" dataDxfId="37" totalsRowDxfId="36"/>
    <tableColumn id="10" xr3:uid="{0F59EE97-1C15-48E2-A068-6300779DD479}" name="Sales" dataDxfId="35" totalsRowDxfId="34"/>
    <tableColumn id="5" xr3:uid="{C7CF4C1E-6C22-4A12-BC86-223316804350}" name="บริการประเภท" dataDxfId="33" totalsRowDxfId="32" dataCellStyle="Total"/>
    <tableColumn id="25" xr3:uid="{8F2297A0-32B0-43D2-B9BD-8EC1009B1977}" name="ค่าบริการรายเดือนตาม Package" totalsRowFunction="sum" dataDxfId="31" totalsRowDxfId="30" dataCellStyle="Comma"/>
    <tableColumn id="21" xr3:uid="{75C8E32E-3F65-4F42-ACED-BFC8B27ADC32}" name="เดือนที่เริ่มเก็บ_x000a_ค่าบริการ" dataDxfId="29" totalsRowDxfId="28" dataCellStyle="Comma"/>
    <tableColumn id="8" xr3:uid="{87582A4B-C6E1-459B-9800-05571557ACEC}" name="รายการเบิก_x000a_คอมขายเพิ่มเติม_x000a_(เป้าตามกำหนด)_x000a_100-200%" totalsRowFunction="sum" dataDxfId="27" totalsRowDxfId="26" dataCellStyle="Comma"/>
    <tableColumn id="9" xr3:uid="{80B11174-88F7-481E-8588-DCC205A7F65B}" name="รายการเบิก_x000a_คอมขาย" totalsRowFunction="sum" dataDxfId="25" totalsRowDxfId="24" dataCellStyle="Comma"/>
    <tableColumn id="22" xr3:uid="{7E1E6494-3D75-42D9-9462-3378DBD97459}" name="ค่าขายอุปกรณ์" totalsRowFunction="sum" dataDxfId="23" totalsRowDxfId="22" dataCellStyle="Comma"/>
    <tableColumn id="4" xr3:uid="{6F575235-48BB-483E-BFE9-88158E351789}" name="ต้นทุนค่าขายอุปกรณ์" totalsRowFunction="sum" dataDxfId="21" totalsRowDxfId="20"/>
    <tableColumn id="6" xr3:uid="{7DF313D9-AB2D-4BE0-82F9-C19A4E538983}" name="คอมฯอุปกรณ์_x000a_ 5%" totalsRowFunction="sum" dataDxfId="19" totalsRowDxfId="18"/>
    <tableColumn id="26" xr3:uid="{B2B3E80A-ECD8-4B32-8E0F-D6A42BE9B960}" name="คอมฯ อุปกรณ์_x000a_25%" totalsRowFunction="sum" dataDxfId="17" totalsRowDxfId="16" dataCellStyle="Comma"/>
    <tableColumn id="13" xr3:uid="{580055DC-2FBC-4D00-BA82-8376F27591FF}" name="Total_x000a_คอมฯ อุปกรณ์" dataDxfId="15" totalsRowDxfId="14" dataCellStyle="Comma"/>
    <tableColumn id="15" xr3:uid="{52CA07EB-D357-46DC-8FE4-B6971D41F453}" name="ค่าติดตั้ง/ค่าเชื่อมสัญญาณ" dataDxfId="13" totalsRowDxfId="12" dataCellStyle="Comma"/>
    <tableColumn id="17" xr3:uid="{4EC6B6AD-0201-4110-8789-0A3FD486D800}" name="ต้นทุนค่าติดตั้ง/ค่าเชื่อมสัญญาณ" dataDxfId="11" totalsRowDxfId="10" dataCellStyle="Comma"/>
    <tableColumn id="16" xr3:uid="{95E16324-276E-48DC-8203-FB2D58BA6719}" name="Total _x000a_คอมฯค่าติดตั้ง/ค่าเชื่อมสัญญาณ" totalsRowFunction="sum" dataDxfId="9" totalsRowDxfId="8" dataCellStyle="Comma"/>
    <tableColumn id="3" xr3:uid="{02A9AB69-FFEB-4867-B132-52FAADBD4D7A}" name="รวมค่าคอมฯ" totalsRowFunction="sum" dataDxfId="7" totalsRowDxfId="6"/>
    <tableColumn id="11" xr3:uid="{323E8EBB-672E-49FF-886B-83397B13954F}" name="เลขที่ใบกำกับ/ใบเสร็จรับเงิน" totalsRowFunction="sum" dataDxfId="5" totalsRowDxfId="4"/>
    <tableColumn id="7" xr3:uid="{BCF445C2-E016-4A4B-AED8-A6BAA3F6BE25}" name="เลขที่นำส่งเงิน_x000a_" totalsRowFunction="sum" dataDxfId="3" totalsRowDxfId="2"/>
    <tableColumn id="14" xr3:uid="{0FC5A296-C82E-487E-BCC6-7040C9EE9F00}" name="เขตการขาย" dataDxfId="1" totalsRowDxfId="0"/>
  </tableColumns>
  <tableStyleInfo name="TableStyleLight13"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F7FA57-723D-4B5E-A41E-9DB34E106A85}">
  <dimension ref="A1:G18"/>
  <sheetViews>
    <sheetView workbookViewId="0">
      <selection activeCell="C12" sqref="C12"/>
    </sheetView>
  </sheetViews>
  <sheetFormatPr defaultRowHeight="13.2"/>
  <cols>
    <col min="1" max="1" width="8.88671875" style="337"/>
    <col min="2" max="2" width="26.44140625" bestFit="1" customWidth="1"/>
    <col min="3" max="3" width="29.21875" bestFit="1" customWidth="1"/>
    <col min="6" max="6" width="10.88671875" customWidth="1"/>
  </cols>
  <sheetData>
    <row r="1" spans="1:7" ht="26.4">
      <c r="B1" s="342" t="s">
        <v>55</v>
      </c>
      <c r="C1" s="386" t="s">
        <v>48</v>
      </c>
      <c r="D1" s="401" t="s">
        <v>185</v>
      </c>
      <c r="F1" s="400" t="s">
        <v>182</v>
      </c>
      <c r="G1" s="400" t="s">
        <v>198</v>
      </c>
    </row>
    <row r="2" spans="1:7" ht="13.8">
      <c r="A2" s="337" t="s">
        <v>153</v>
      </c>
      <c r="B2" s="338" t="s">
        <v>70</v>
      </c>
      <c r="C2" s="387" t="s">
        <v>45</v>
      </c>
      <c r="D2" s="339" t="s">
        <v>186</v>
      </c>
      <c r="F2" s="398">
        <v>45566</v>
      </c>
      <c r="G2" s="399">
        <v>6.6000000000000003E-2</v>
      </c>
    </row>
    <row r="3" spans="1:7" ht="13.8">
      <c r="A3" s="337" t="s">
        <v>153</v>
      </c>
      <c r="B3" s="338" t="s">
        <v>71</v>
      </c>
      <c r="C3" s="387" t="s">
        <v>46</v>
      </c>
      <c r="D3" s="338" t="s">
        <v>187</v>
      </c>
      <c r="F3" s="398">
        <v>45597</v>
      </c>
      <c r="G3" s="340"/>
    </row>
    <row r="4" spans="1:7" ht="13.8">
      <c r="A4" s="337" t="s">
        <v>153</v>
      </c>
      <c r="B4" s="338" t="s">
        <v>73</v>
      </c>
      <c r="C4" s="387" t="s">
        <v>204</v>
      </c>
      <c r="F4" s="398">
        <v>45627</v>
      </c>
      <c r="G4" s="340"/>
    </row>
    <row r="5" spans="1:7" ht="13.8">
      <c r="A5" s="337" t="s">
        <v>17</v>
      </c>
      <c r="B5" s="338" t="s">
        <v>74</v>
      </c>
      <c r="C5" s="387" t="s">
        <v>205</v>
      </c>
      <c r="F5" s="398">
        <v>45658</v>
      </c>
      <c r="G5" s="340"/>
    </row>
    <row r="6" spans="1:7" ht="13.8">
      <c r="A6" s="337" t="s">
        <v>17</v>
      </c>
      <c r="B6" s="338" t="s">
        <v>75</v>
      </c>
      <c r="C6" s="339" t="s">
        <v>154</v>
      </c>
      <c r="F6" s="398">
        <v>45689</v>
      </c>
      <c r="G6" s="340"/>
    </row>
    <row r="7" spans="1:7" ht="13.8">
      <c r="A7" s="337" t="s">
        <v>17</v>
      </c>
      <c r="B7" s="338" t="s">
        <v>152</v>
      </c>
      <c r="C7" s="339" t="s">
        <v>155</v>
      </c>
      <c r="F7" s="398">
        <v>45717</v>
      </c>
      <c r="G7" s="340"/>
    </row>
    <row r="8" spans="1:7" ht="13.8">
      <c r="A8" s="337" t="s">
        <v>17</v>
      </c>
      <c r="B8" s="338" t="s">
        <v>130</v>
      </c>
      <c r="C8" s="339" t="s">
        <v>59</v>
      </c>
      <c r="F8" s="398">
        <v>45748</v>
      </c>
      <c r="G8" s="340"/>
    </row>
    <row r="9" spans="1:7" ht="13.8">
      <c r="A9" s="337" t="s">
        <v>17</v>
      </c>
      <c r="B9" s="338" t="s">
        <v>151</v>
      </c>
      <c r="C9" s="339" t="s">
        <v>54</v>
      </c>
      <c r="F9" s="398">
        <v>45778</v>
      </c>
      <c r="G9" s="340"/>
    </row>
    <row r="10" spans="1:7" ht="13.8">
      <c r="A10" s="337" t="s">
        <v>78</v>
      </c>
      <c r="B10" s="338" t="s">
        <v>72</v>
      </c>
      <c r="C10" s="339" t="s">
        <v>49</v>
      </c>
      <c r="F10" s="398">
        <v>45809</v>
      </c>
      <c r="G10" s="340"/>
    </row>
    <row r="11" spans="1:7" ht="13.8">
      <c r="A11" s="337" t="s">
        <v>78</v>
      </c>
      <c r="B11" s="340" t="s">
        <v>68</v>
      </c>
      <c r="C11" s="339" t="s">
        <v>50</v>
      </c>
      <c r="F11" s="398">
        <v>45839</v>
      </c>
      <c r="G11" s="340"/>
    </row>
    <row r="12" spans="1:7" ht="13.8">
      <c r="A12" s="337" t="s">
        <v>78</v>
      </c>
      <c r="B12" s="338" t="s">
        <v>67</v>
      </c>
      <c r="C12" s="339" t="s">
        <v>51</v>
      </c>
    </row>
    <row r="13" spans="1:7" ht="13.8">
      <c r="A13" s="337" t="s">
        <v>78</v>
      </c>
      <c r="B13" s="338" t="s">
        <v>69</v>
      </c>
      <c r="C13" s="339" t="s">
        <v>52</v>
      </c>
    </row>
    <row r="14" spans="1:7" ht="13.8">
      <c r="A14" s="337" t="s">
        <v>78</v>
      </c>
      <c r="B14" s="338" t="s">
        <v>90</v>
      </c>
      <c r="C14" s="339" t="s">
        <v>47</v>
      </c>
    </row>
    <row r="15" spans="1:7" ht="13.8">
      <c r="B15" s="340" t="s">
        <v>21</v>
      </c>
      <c r="C15" s="339" t="s">
        <v>53</v>
      </c>
    </row>
    <row r="16" spans="1:7" ht="13.8">
      <c r="B16" s="340" t="s">
        <v>56</v>
      </c>
      <c r="C16" s="339" t="s">
        <v>96</v>
      </c>
    </row>
    <row r="17" spans="2:3" ht="13.8">
      <c r="B17" s="340" t="s">
        <v>18</v>
      </c>
      <c r="C17" s="113"/>
    </row>
    <row r="18" spans="2:3">
      <c r="B18" s="341"/>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6595A4-DE15-4FC2-90A7-452F4A3E48B0}">
  <sheetPr codeName="Sheet2">
    <tabColor indexed="25"/>
    <pageSetUpPr fitToPage="1"/>
  </sheetPr>
  <dimension ref="A1:AN72"/>
  <sheetViews>
    <sheetView tabSelected="1" zoomScale="55" zoomScaleNormal="55" workbookViewId="0">
      <pane xSplit="6" ySplit="6" topLeftCell="G7" activePane="bottomRight" state="frozen"/>
      <selection pane="topRight" activeCell="G1" sqref="G1"/>
      <selection pane="bottomLeft" activeCell="A7" sqref="A7"/>
      <selection pane="bottomRight" activeCell="E16" sqref="E16"/>
    </sheetView>
  </sheetViews>
  <sheetFormatPr defaultColWidth="0" defaultRowHeight="0" customHeight="1" zeroHeight="1"/>
  <cols>
    <col min="1" max="1" width="8.109375" style="507" customWidth="1"/>
    <col min="2" max="2" width="13.21875" style="572" customWidth="1"/>
    <col min="3" max="3" width="19.33203125" style="507" bestFit="1" customWidth="1"/>
    <col min="4" max="4" width="46.77734375" style="641" customWidth="1"/>
    <col min="5" max="5" width="21" style="640" customWidth="1"/>
    <col min="6" max="6" width="16.6640625" style="572" customWidth="1"/>
    <col min="7" max="7" width="12.109375" style="573" customWidth="1"/>
    <col min="8" max="8" width="17" style="673" customWidth="1"/>
    <col min="9" max="9" width="14.77734375" style="522" customWidth="1"/>
    <col min="10" max="11" width="14.6640625" style="574" customWidth="1"/>
    <col min="12" max="12" width="14.5546875" style="575" customWidth="1"/>
    <col min="13" max="13" width="17.109375" style="575" customWidth="1"/>
    <col min="14" max="14" width="19.5546875" style="574" customWidth="1"/>
    <col min="15" max="15" width="21.5546875" style="576" customWidth="1"/>
    <col min="16" max="16" width="10.77734375" style="577" customWidth="1"/>
    <col min="17" max="17" width="25.5546875" style="577" customWidth="1"/>
    <col min="18" max="21" width="15.77734375" style="763" customWidth="1"/>
    <col min="22" max="22" width="19.33203125" style="156" customWidth="1"/>
    <col min="23" max="23" width="10.33203125" style="413" customWidth="1"/>
    <col min="24" max="24" width="17.77734375" style="413" customWidth="1"/>
    <col min="25" max="25" width="19.33203125" style="156" customWidth="1"/>
    <col min="26" max="26" width="21.109375" style="156" customWidth="1"/>
    <col min="27" max="27" width="21.88671875" style="413" customWidth="1"/>
    <col min="28" max="29" width="17.33203125" style="578" customWidth="1"/>
    <col min="30" max="30" width="22.6640625" style="576" customWidth="1"/>
    <col min="31" max="31" width="19.33203125" style="332" customWidth="1"/>
    <col min="32" max="32" width="11.21875" style="416" customWidth="1"/>
    <col min="33" max="33" width="12.6640625" style="416" customWidth="1"/>
    <col min="34" max="34" width="19.33203125" style="157" customWidth="1"/>
    <col min="35" max="35" width="20.44140625" style="332" customWidth="1"/>
    <col min="36" max="36" width="20.109375" style="521" customWidth="1"/>
    <col min="37" max="37" width="24" style="578" customWidth="1"/>
    <col min="38" max="38" width="22" style="578" customWidth="1"/>
    <col min="39" max="39" width="17" style="523" customWidth="1"/>
    <col min="40" max="40" width="32.33203125" style="582" customWidth="1"/>
    <col min="41" max="43" width="15.33203125" style="507" customWidth="1"/>
    <col min="44" max="44" width="17" style="507" customWidth="1"/>
    <col min="45" max="45" width="0" style="507" hidden="1"/>
    <col min="46" max="47" width="15.5546875" style="507" customWidth="1"/>
    <col min="48" max="48" width="13.6640625" style="507" customWidth="1"/>
    <col min="49" max="49" width="9" style="507" customWidth="1"/>
    <col min="50" max="50" width="49.88671875" style="507" customWidth="1"/>
    <col min="51" max="51" width="0" style="507" hidden="1"/>
    <col min="52" max="53" width="15.88671875" style="507" customWidth="1"/>
    <col min="54" max="54" width="14.5546875" style="507" customWidth="1"/>
    <col min="55" max="55" width="16.33203125" style="507" customWidth="1"/>
    <col min="56" max="56" width="18.109375" style="507" customWidth="1"/>
    <col min="57" max="57" width="14.109375" style="507" customWidth="1"/>
    <col min="58" max="284" width="0" style="507" hidden="1"/>
    <col min="285" max="285" width="7.5546875" style="507" customWidth="1"/>
    <col min="286" max="286" width="36.77734375" style="507" customWidth="1"/>
    <col min="287" max="288" width="0" style="507" hidden="1"/>
    <col min="289" max="289" width="16.6640625" style="507" customWidth="1"/>
    <col min="290" max="290" width="17.33203125" style="507" customWidth="1"/>
    <col min="291" max="291" width="15.5546875" style="507" customWidth="1"/>
    <col min="292" max="292" width="0" style="507" hidden="1"/>
    <col min="293" max="293" width="16.6640625" style="507" customWidth="1"/>
    <col min="294" max="294" width="17.44140625" style="507" customWidth="1"/>
    <col min="295" max="296" width="0" style="507" hidden="1"/>
    <col min="297" max="299" width="15.33203125" style="507" customWidth="1"/>
    <col min="300" max="300" width="17" style="507" customWidth="1"/>
    <col min="301" max="301" width="0" style="507" hidden="1"/>
    <col min="302" max="303" width="15.5546875" style="507" customWidth="1"/>
    <col min="304" max="304" width="13.6640625" style="507" customWidth="1"/>
    <col min="305" max="305" width="9" style="507" customWidth="1"/>
    <col min="306" max="306" width="49.88671875" style="507" customWidth="1"/>
    <col min="307" max="307" width="0" style="507" hidden="1"/>
    <col min="308" max="309" width="15.88671875" style="507" customWidth="1"/>
    <col min="310" max="310" width="14.5546875" style="507" customWidth="1"/>
    <col min="311" max="311" width="16.33203125" style="507" customWidth="1"/>
    <col min="312" max="312" width="18.109375" style="507" customWidth="1"/>
    <col min="313" max="313" width="14.109375" style="507" customWidth="1"/>
    <col min="314" max="540" width="0" style="507" hidden="1"/>
    <col min="541" max="541" width="7.5546875" style="507" customWidth="1"/>
    <col min="542" max="542" width="36.77734375" style="507" customWidth="1"/>
    <col min="543" max="544" width="0" style="507" hidden="1"/>
    <col min="545" max="545" width="16.6640625" style="507" customWidth="1"/>
    <col min="546" max="546" width="17.33203125" style="507" customWidth="1"/>
    <col min="547" max="547" width="15.5546875" style="507" customWidth="1"/>
    <col min="548" max="548" width="0" style="507" hidden="1"/>
    <col min="549" max="549" width="16.6640625" style="507" customWidth="1"/>
    <col min="550" max="550" width="17.44140625" style="507" customWidth="1"/>
    <col min="551" max="552" width="0" style="507" hidden="1"/>
    <col min="553" max="555" width="15.33203125" style="507" customWidth="1"/>
    <col min="556" max="556" width="17" style="507" customWidth="1"/>
    <col min="557" max="557" width="0" style="507" hidden="1"/>
    <col min="558" max="559" width="15.5546875" style="507" customWidth="1"/>
    <col min="560" max="560" width="13.6640625" style="507" customWidth="1"/>
    <col min="561" max="561" width="9" style="507" customWidth="1"/>
    <col min="562" max="562" width="49.88671875" style="507" customWidth="1"/>
    <col min="563" max="563" width="0" style="507" hidden="1"/>
    <col min="564" max="565" width="15.88671875" style="507" customWidth="1"/>
    <col min="566" max="566" width="14.5546875" style="507" customWidth="1"/>
    <col min="567" max="567" width="16.33203125" style="507" customWidth="1"/>
    <col min="568" max="568" width="18.109375" style="507" customWidth="1"/>
    <col min="569" max="569" width="14.109375" style="507" customWidth="1"/>
    <col min="570" max="796" width="0" style="507" hidden="1"/>
    <col min="797" max="797" width="7.5546875" style="507" customWidth="1"/>
    <col min="798" max="798" width="36.77734375" style="507" customWidth="1"/>
    <col min="799" max="800" width="0" style="507" hidden="1"/>
    <col min="801" max="801" width="16.6640625" style="507" customWidth="1"/>
    <col min="802" max="802" width="17.33203125" style="507" customWidth="1"/>
    <col min="803" max="803" width="15.5546875" style="507" customWidth="1"/>
    <col min="804" max="804" width="0" style="507" hidden="1"/>
    <col min="805" max="805" width="16.6640625" style="507" customWidth="1"/>
    <col min="806" max="806" width="17.44140625" style="507" customWidth="1"/>
    <col min="807" max="808" width="0" style="507" hidden="1"/>
    <col min="809" max="811" width="15.33203125" style="507" customWidth="1"/>
    <col min="812" max="812" width="17" style="507" customWidth="1"/>
    <col min="813" max="813" width="0" style="507" hidden="1"/>
    <col min="814" max="815" width="15.5546875" style="507" customWidth="1"/>
    <col min="816" max="816" width="13.6640625" style="507" customWidth="1"/>
    <col min="817" max="817" width="9" style="507" customWidth="1"/>
    <col min="818" max="818" width="49.88671875" style="507" customWidth="1"/>
    <col min="819" max="819" width="0" style="507" hidden="1"/>
    <col min="820" max="821" width="15.88671875" style="507" customWidth="1"/>
    <col min="822" max="822" width="14.5546875" style="507" customWidth="1"/>
    <col min="823" max="823" width="16.33203125" style="507" customWidth="1"/>
    <col min="824" max="824" width="18.109375" style="507" customWidth="1"/>
    <col min="825" max="825" width="14.109375" style="507" customWidth="1"/>
    <col min="826" max="1052" width="0" style="507" hidden="1"/>
    <col min="1053" max="1053" width="7.5546875" style="507" customWidth="1"/>
    <col min="1054" max="1054" width="36.77734375" style="507" customWidth="1"/>
    <col min="1055" max="1056" width="0" style="507" hidden="1"/>
    <col min="1057" max="1057" width="16.6640625" style="507" customWidth="1"/>
    <col min="1058" max="1058" width="17.33203125" style="507" customWidth="1"/>
    <col min="1059" max="1059" width="15.5546875" style="507" customWidth="1"/>
    <col min="1060" max="1060" width="0" style="507" hidden="1"/>
    <col min="1061" max="1061" width="16.6640625" style="507" customWidth="1"/>
    <col min="1062" max="1062" width="17.44140625" style="507" customWidth="1"/>
    <col min="1063" max="1064" width="0" style="507" hidden="1"/>
    <col min="1065" max="1067" width="15.33203125" style="507" customWidth="1"/>
    <col min="1068" max="1068" width="17" style="507" customWidth="1"/>
    <col min="1069" max="1069" width="0" style="507" hidden="1"/>
    <col min="1070" max="1071" width="15.5546875" style="507" customWidth="1"/>
    <col min="1072" max="1072" width="13.6640625" style="507" customWidth="1"/>
    <col min="1073" max="1073" width="9" style="507" customWidth="1"/>
    <col min="1074" max="1074" width="49.88671875" style="507" customWidth="1"/>
    <col min="1075" max="1075" width="0" style="507" hidden="1"/>
    <col min="1076" max="1077" width="15.88671875" style="507" customWidth="1"/>
    <col min="1078" max="1078" width="14.5546875" style="507" customWidth="1"/>
    <col min="1079" max="1079" width="16.33203125" style="507" customWidth="1"/>
    <col min="1080" max="1080" width="18.109375" style="507" customWidth="1"/>
    <col min="1081" max="1081" width="14.109375" style="507" customWidth="1"/>
    <col min="1082" max="1308" width="0" style="507" hidden="1"/>
    <col min="1309" max="1309" width="7.5546875" style="507" customWidth="1"/>
    <col min="1310" max="1310" width="36.77734375" style="507" customWidth="1"/>
    <col min="1311" max="1312" width="0" style="507" hidden="1"/>
    <col min="1313" max="1313" width="16.6640625" style="507" customWidth="1"/>
    <col min="1314" max="1314" width="17.33203125" style="507" customWidth="1"/>
    <col min="1315" max="1315" width="15.5546875" style="507" customWidth="1"/>
    <col min="1316" max="1316" width="0" style="507" hidden="1"/>
    <col min="1317" max="1317" width="16.6640625" style="507" customWidth="1"/>
    <col min="1318" max="1318" width="17.44140625" style="507" customWidth="1"/>
    <col min="1319" max="1320" width="0" style="507" hidden="1"/>
    <col min="1321" max="1323" width="15.33203125" style="507" customWidth="1"/>
    <col min="1324" max="1324" width="17" style="507" customWidth="1"/>
    <col min="1325" max="1325" width="0" style="507" hidden="1"/>
    <col min="1326" max="1327" width="15.5546875" style="507" customWidth="1"/>
    <col min="1328" max="1328" width="13.6640625" style="507" customWidth="1"/>
    <col min="1329" max="1329" width="9" style="507" customWidth="1"/>
    <col min="1330" max="1330" width="49.88671875" style="507" customWidth="1"/>
    <col min="1331" max="1331" width="0" style="507" hidden="1"/>
    <col min="1332" max="1333" width="15.88671875" style="507" customWidth="1"/>
    <col min="1334" max="1334" width="14.5546875" style="507" customWidth="1"/>
    <col min="1335" max="1335" width="16.33203125" style="507" customWidth="1"/>
    <col min="1336" max="1336" width="18.109375" style="507" customWidth="1"/>
    <col min="1337" max="1337" width="14.109375" style="507" customWidth="1"/>
    <col min="1338" max="1564" width="0" style="507" hidden="1"/>
    <col min="1565" max="1565" width="7.5546875" style="507" customWidth="1"/>
    <col min="1566" max="1566" width="36.77734375" style="507" customWidth="1"/>
    <col min="1567" max="1568" width="0" style="507" hidden="1"/>
    <col min="1569" max="1569" width="16.6640625" style="507" customWidth="1"/>
    <col min="1570" max="1570" width="17.33203125" style="507" customWidth="1"/>
    <col min="1571" max="1571" width="15.5546875" style="507" customWidth="1"/>
    <col min="1572" max="1572" width="0" style="507" hidden="1"/>
    <col min="1573" max="1573" width="16.6640625" style="507" customWidth="1"/>
    <col min="1574" max="1574" width="17.44140625" style="507" customWidth="1"/>
    <col min="1575" max="1576" width="0" style="507" hidden="1"/>
    <col min="1577" max="1579" width="15.33203125" style="507" customWidth="1"/>
    <col min="1580" max="1580" width="17" style="507" customWidth="1"/>
    <col min="1581" max="1581" width="0" style="507" hidden="1"/>
    <col min="1582" max="1583" width="15.5546875" style="507" customWidth="1"/>
    <col min="1584" max="1584" width="13.6640625" style="507" customWidth="1"/>
    <col min="1585" max="1585" width="9" style="507" customWidth="1"/>
    <col min="1586" max="1586" width="49.88671875" style="507" customWidth="1"/>
    <col min="1587" max="1587" width="0" style="507" hidden="1"/>
    <col min="1588" max="1589" width="15.88671875" style="507" customWidth="1"/>
    <col min="1590" max="1590" width="14.5546875" style="507" customWidth="1"/>
    <col min="1591" max="1591" width="16.33203125" style="507" customWidth="1"/>
    <col min="1592" max="1592" width="18.109375" style="507" customWidth="1"/>
    <col min="1593" max="1593" width="14.109375" style="507" customWidth="1"/>
    <col min="1594" max="1820" width="0" style="507" hidden="1"/>
    <col min="1821" max="1821" width="7.5546875" style="507" customWidth="1"/>
    <col min="1822" max="1822" width="36.77734375" style="507" customWidth="1"/>
    <col min="1823" max="1824" width="0" style="507" hidden="1"/>
    <col min="1825" max="1825" width="16.6640625" style="507" customWidth="1"/>
    <col min="1826" max="1826" width="17.33203125" style="507" customWidth="1"/>
    <col min="1827" max="1827" width="15.5546875" style="507" customWidth="1"/>
    <col min="1828" max="1828" width="0" style="507" hidden="1"/>
    <col min="1829" max="1829" width="16.6640625" style="507" customWidth="1"/>
    <col min="1830" max="1830" width="17.44140625" style="507" customWidth="1"/>
    <col min="1831" max="1832" width="0" style="507" hidden="1"/>
    <col min="1833" max="1835" width="15.33203125" style="507" customWidth="1"/>
    <col min="1836" max="1836" width="17" style="507" customWidth="1"/>
    <col min="1837" max="1837" width="0" style="507" hidden="1"/>
    <col min="1838" max="1839" width="15.5546875" style="507" customWidth="1"/>
    <col min="1840" max="1840" width="13.6640625" style="507" customWidth="1"/>
    <col min="1841" max="1841" width="9" style="507" customWidth="1"/>
    <col min="1842" max="1842" width="49.88671875" style="507" customWidth="1"/>
    <col min="1843" max="1843" width="0" style="507" hidden="1"/>
    <col min="1844" max="1845" width="15.88671875" style="507" customWidth="1"/>
    <col min="1846" max="1846" width="14.5546875" style="507" customWidth="1"/>
    <col min="1847" max="1847" width="16.33203125" style="507" customWidth="1"/>
    <col min="1848" max="1848" width="18.109375" style="507" customWidth="1"/>
    <col min="1849" max="1849" width="14.109375" style="507" customWidth="1"/>
    <col min="1850" max="2076" width="0" style="507" hidden="1"/>
    <col min="2077" max="2077" width="7.5546875" style="507" customWidth="1"/>
    <col min="2078" max="2078" width="36.77734375" style="507" customWidth="1"/>
    <col min="2079" max="2080" width="0" style="507" hidden="1"/>
    <col min="2081" max="2081" width="16.6640625" style="507" customWidth="1"/>
    <col min="2082" max="2082" width="17.33203125" style="507" customWidth="1"/>
    <col min="2083" max="2083" width="15.5546875" style="507" customWidth="1"/>
    <col min="2084" max="2084" width="0" style="507" hidden="1"/>
    <col min="2085" max="2085" width="16.6640625" style="507" customWidth="1"/>
    <col min="2086" max="2086" width="17.44140625" style="507" customWidth="1"/>
    <col min="2087" max="2088" width="0" style="507" hidden="1"/>
    <col min="2089" max="2091" width="15.33203125" style="507" customWidth="1"/>
    <col min="2092" max="2092" width="17" style="507" customWidth="1"/>
    <col min="2093" max="2093" width="0" style="507" hidden="1"/>
    <col min="2094" max="2095" width="15.5546875" style="507" customWidth="1"/>
    <col min="2096" max="2096" width="13.6640625" style="507" customWidth="1"/>
    <col min="2097" max="2097" width="9" style="507" customWidth="1"/>
    <col min="2098" max="2098" width="49.88671875" style="507" customWidth="1"/>
    <col min="2099" max="2099" width="0" style="507" hidden="1"/>
    <col min="2100" max="2101" width="15.88671875" style="507" customWidth="1"/>
    <col min="2102" max="2102" width="14.5546875" style="507" customWidth="1"/>
    <col min="2103" max="2103" width="16.33203125" style="507" customWidth="1"/>
    <col min="2104" max="2104" width="18.109375" style="507" customWidth="1"/>
    <col min="2105" max="2105" width="14.109375" style="507" customWidth="1"/>
    <col min="2106" max="2332" width="0" style="507" hidden="1"/>
    <col min="2333" max="2333" width="7.5546875" style="507" customWidth="1"/>
    <col min="2334" max="2334" width="36.77734375" style="507" customWidth="1"/>
    <col min="2335" max="2336" width="0" style="507" hidden="1"/>
    <col min="2337" max="2337" width="16.6640625" style="507" customWidth="1"/>
    <col min="2338" max="2338" width="17.33203125" style="507" customWidth="1"/>
    <col min="2339" max="2339" width="15.5546875" style="507" customWidth="1"/>
    <col min="2340" max="2340" width="0" style="507" hidden="1"/>
    <col min="2341" max="2341" width="16.6640625" style="507" customWidth="1"/>
    <col min="2342" max="2342" width="17.44140625" style="507" customWidth="1"/>
    <col min="2343" max="2344" width="0" style="507" hidden="1"/>
    <col min="2345" max="2347" width="15.33203125" style="507" customWidth="1"/>
    <col min="2348" max="2348" width="17" style="507" customWidth="1"/>
    <col min="2349" max="2349" width="0" style="507" hidden="1"/>
    <col min="2350" max="2351" width="15.5546875" style="507" customWidth="1"/>
    <col min="2352" max="2352" width="13.6640625" style="507" customWidth="1"/>
    <col min="2353" max="2353" width="9" style="507" customWidth="1"/>
    <col min="2354" max="2354" width="49.88671875" style="507" customWidth="1"/>
    <col min="2355" max="2355" width="0" style="507" hidden="1"/>
    <col min="2356" max="2357" width="15.88671875" style="507" customWidth="1"/>
    <col min="2358" max="2358" width="14.5546875" style="507" customWidth="1"/>
    <col min="2359" max="2359" width="16.33203125" style="507" customWidth="1"/>
    <col min="2360" max="2360" width="18.109375" style="507" customWidth="1"/>
    <col min="2361" max="2361" width="14.109375" style="507" customWidth="1"/>
    <col min="2362" max="2588" width="0" style="507" hidden="1"/>
    <col min="2589" max="2589" width="7.5546875" style="507" customWidth="1"/>
    <col min="2590" max="2590" width="36.77734375" style="507" customWidth="1"/>
    <col min="2591" max="2592" width="0" style="507" hidden="1"/>
    <col min="2593" max="2593" width="16.6640625" style="507" customWidth="1"/>
    <col min="2594" max="2594" width="17.33203125" style="507" customWidth="1"/>
    <col min="2595" max="2595" width="15.5546875" style="507" customWidth="1"/>
    <col min="2596" max="2596" width="0" style="507" hidden="1"/>
    <col min="2597" max="2597" width="16.6640625" style="507" customWidth="1"/>
    <col min="2598" max="2598" width="17.44140625" style="507" customWidth="1"/>
    <col min="2599" max="2600" width="0" style="507" hidden="1"/>
    <col min="2601" max="2603" width="15.33203125" style="507" customWidth="1"/>
    <col min="2604" max="2604" width="17" style="507" customWidth="1"/>
    <col min="2605" max="2605" width="0" style="507" hidden="1"/>
    <col min="2606" max="2607" width="15.5546875" style="507" customWidth="1"/>
    <col min="2608" max="2608" width="13.6640625" style="507" customWidth="1"/>
    <col min="2609" max="2609" width="9" style="507" customWidth="1"/>
    <col min="2610" max="2610" width="49.88671875" style="507" customWidth="1"/>
    <col min="2611" max="2611" width="0" style="507" hidden="1"/>
    <col min="2612" max="2613" width="15.88671875" style="507" customWidth="1"/>
    <col min="2614" max="2614" width="14.5546875" style="507" customWidth="1"/>
    <col min="2615" max="2615" width="16.33203125" style="507" customWidth="1"/>
    <col min="2616" max="2616" width="18.109375" style="507" customWidth="1"/>
    <col min="2617" max="2617" width="14.109375" style="507" customWidth="1"/>
    <col min="2618" max="2844" width="0" style="507" hidden="1"/>
    <col min="2845" max="2845" width="7.5546875" style="507" customWidth="1"/>
    <col min="2846" max="2846" width="36.77734375" style="507" customWidth="1"/>
    <col min="2847" max="2848" width="0" style="507" hidden="1"/>
    <col min="2849" max="2849" width="16.6640625" style="507" customWidth="1"/>
    <col min="2850" max="2850" width="17.33203125" style="507" customWidth="1"/>
    <col min="2851" max="2851" width="15.5546875" style="507" customWidth="1"/>
    <col min="2852" max="2852" width="0" style="507" hidden="1"/>
    <col min="2853" max="2853" width="16.6640625" style="507" customWidth="1"/>
    <col min="2854" max="2854" width="17.44140625" style="507" customWidth="1"/>
    <col min="2855" max="2856" width="0" style="507" hidden="1"/>
    <col min="2857" max="2859" width="15.33203125" style="507" customWidth="1"/>
    <col min="2860" max="2860" width="17" style="507" customWidth="1"/>
    <col min="2861" max="2861" width="0" style="507" hidden="1"/>
    <col min="2862" max="2863" width="15.5546875" style="507" customWidth="1"/>
    <col min="2864" max="2864" width="13.6640625" style="507" customWidth="1"/>
    <col min="2865" max="2865" width="9" style="507" customWidth="1"/>
    <col min="2866" max="2866" width="49.88671875" style="507" customWidth="1"/>
    <col min="2867" max="2867" width="0" style="507" hidden="1"/>
    <col min="2868" max="2869" width="15.88671875" style="507" customWidth="1"/>
    <col min="2870" max="2870" width="14.5546875" style="507" customWidth="1"/>
    <col min="2871" max="2871" width="16.33203125" style="507" customWidth="1"/>
    <col min="2872" max="2872" width="18.109375" style="507" customWidth="1"/>
    <col min="2873" max="2873" width="14.109375" style="507" customWidth="1"/>
    <col min="2874" max="3100" width="0" style="507" hidden="1"/>
    <col min="3101" max="3101" width="7.5546875" style="507" customWidth="1"/>
    <col min="3102" max="3102" width="36.77734375" style="507" customWidth="1"/>
    <col min="3103" max="3104" width="0" style="507" hidden="1"/>
    <col min="3105" max="3105" width="16.6640625" style="507" customWidth="1"/>
    <col min="3106" max="3106" width="17.33203125" style="507" customWidth="1"/>
    <col min="3107" max="3107" width="15.5546875" style="507" customWidth="1"/>
    <col min="3108" max="3108" width="0" style="507" hidden="1"/>
    <col min="3109" max="3109" width="16.6640625" style="507" customWidth="1"/>
    <col min="3110" max="3110" width="17.44140625" style="507" customWidth="1"/>
    <col min="3111" max="3112" width="0" style="507" hidden="1"/>
    <col min="3113" max="3115" width="15.33203125" style="507" customWidth="1"/>
    <col min="3116" max="3116" width="17" style="507" customWidth="1"/>
    <col min="3117" max="3117" width="0" style="507" hidden="1"/>
    <col min="3118" max="3119" width="15.5546875" style="507" customWidth="1"/>
    <col min="3120" max="3120" width="13.6640625" style="507" customWidth="1"/>
    <col min="3121" max="3121" width="9" style="507" customWidth="1"/>
    <col min="3122" max="3122" width="49.88671875" style="507" customWidth="1"/>
    <col min="3123" max="3123" width="0" style="507" hidden="1"/>
    <col min="3124" max="3125" width="15.88671875" style="507" customWidth="1"/>
    <col min="3126" max="3126" width="14.5546875" style="507" customWidth="1"/>
    <col min="3127" max="3127" width="16.33203125" style="507" customWidth="1"/>
    <col min="3128" max="3128" width="18.109375" style="507" customWidth="1"/>
    <col min="3129" max="3129" width="14.109375" style="507" customWidth="1"/>
    <col min="3130" max="3356" width="0" style="507" hidden="1"/>
    <col min="3357" max="3357" width="7.5546875" style="507" customWidth="1"/>
    <col min="3358" max="3358" width="36.77734375" style="507" customWidth="1"/>
    <col min="3359" max="3360" width="0" style="507" hidden="1"/>
    <col min="3361" max="3361" width="16.6640625" style="507" customWidth="1"/>
    <col min="3362" max="3362" width="17.33203125" style="507" customWidth="1"/>
    <col min="3363" max="3363" width="15.5546875" style="507" customWidth="1"/>
    <col min="3364" max="3364" width="0" style="507" hidden="1"/>
    <col min="3365" max="3365" width="16.6640625" style="507" customWidth="1"/>
    <col min="3366" max="3366" width="17.44140625" style="507" customWidth="1"/>
    <col min="3367" max="3368" width="0" style="507" hidden="1"/>
    <col min="3369" max="3371" width="15.33203125" style="507" customWidth="1"/>
    <col min="3372" max="3372" width="17" style="507" customWidth="1"/>
    <col min="3373" max="3373" width="0" style="507" hidden="1"/>
    <col min="3374" max="3375" width="15.5546875" style="507" customWidth="1"/>
    <col min="3376" max="3376" width="13.6640625" style="507" customWidth="1"/>
    <col min="3377" max="3377" width="9" style="507" customWidth="1"/>
    <col min="3378" max="3378" width="49.88671875" style="507" customWidth="1"/>
    <col min="3379" max="3379" width="0" style="507" hidden="1"/>
    <col min="3380" max="3381" width="15.88671875" style="507" customWidth="1"/>
    <col min="3382" max="3382" width="14.5546875" style="507" customWidth="1"/>
    <col min="3383" max="3383" width="16.33203125" style="507" customWidth="1"/>
    <col min="3384" max="3384" width="18.109375" style="507" customWidth="1"/>
    <col min="3385" max="3385" width="14.109375" style="507" customWidth="1"/>
    <col min="3386" max="3612" width="0" style="507" hidden="1"/>
    <col min="3613" max="3613" width="7.5546875" style="507" customWidth="1"/>
    <col min="3614" max="3614" width="36.77734375" style="507" customWidth="1"/>
    <col min="3615" max="3616" width="0" style="507" hidden="1"/>
    <col min="3617" max="3617" width="16.6640625" style="507" customWidth="1"/>
    <col min="3618" max="3618" width="17.33203125" style="507" customWidth="1"/>
    <col min="3619" max="3619" width="15.5546875" style="507" customWidth="1"/>
    <col min="3620" max="3620" width="0" style="507" hidden="1"/>
    <col min="3621" max="3621" width="16.6640625" style="507" customWidth="1"/>
    <col min="3622" max="3622" width="17.44140625" style="507" customWidth="1"/>
    <col min="3623" max="3624" width="0" style="507" hidden="1"/>
    <col min="3625" max="3627" width="15.33203125" style="507" customWidth="1"/>
    <col min="3628" max="3628" width="17" style="507" customWidth="1"/>
    <col min="3629" max="3629" width="0" style="507" hidden="1"/>
    <col min="3630" max="3631" width="15.5546875" style="507" customWidth="1"/>
    <col min="3632" max="3632" width="13.6640625" style="507" customWidth="1"/>
    <col min="3633" max="3633" width="9" style="507" customWidth="1"/>
    <col min="3634" max="3634" width="49.88671875" style="507" customWidth="1"/>
    <col min="3635" max="3635" width="0" style="507" hidden="1"/>
    <col min="3636" max="3637" width="15.88671875" style="507" customWidth="1"/>
    <col min="3638" max="3638" width="14.5546875" style="507" customWidth="1"/>
    <col min="3639" max="3639" width="16.33203125" style="507" customWidth="1"/>
    <col min="3640" max="3640" width="18.109375" style="507" customWidth="1"/>
    <col min="3641" max="3641" width="14.109375" style="507" customWidth="1"/>
    <col min="3642" max="3868" width="0" style="507" hidden="1"/>
    <col min="3869" max="3869" width="7.5546875" style="507" customWidth="1"/>
    <col min="3870" max="3870" width="36.77734375" style="507" customWidth="1"/>
    <col min="3871" max="3872" width="0" style="507" hidden="1"/>
    <col min="3873" max="3873" width="16.6640625" style="507" customWidth="1"/>
    <col min="3874" max="3874" width="17.33203125" style="507" customWidth="1"/>
    <col min="3875" max="3875" width="15.5546875" style="507" customWidth="1"/>
    <col min="3876" max="3876" width="0" style="507" hidden="1"/>
    <col min="3877" max="3877" width="16.6640625" style="507" customWidth="1"/>
    <col min="3878" max="3878" width="17.44140625" style="507" customWidth="1"/>
    <col min="3879" max="3880" width="0" style="507" hidden="1"/>
    <col min="3881" max="3883" width="15.33203125" style="507" customWidth="1"/>
    <col min="3884" max="3884" width="17" style="507" customWidth="1"/>
    <col min="3885" max="3885" width="0" style="507" hidden="1"/>
    <col min="3886" max="3887" width="15.5546875" style="507" customWidth="1"/>
    <col min="3888" max="3888" width="13.6640625" style="507" customWidth="1"/>
    <col min="3889" max="3889" width="9" style="507" customWidth="1"/>
    <col min="3890" max="3890" width="49.88671875" style="507" customWidth="1"/>
    <col min="3891" max="3891" width="0" style="507" hidden="1"/>
    <col min="3892" max="3893" width="15.88671875" style="507" customWidth="1"/>
    <col min="3894" max="3894" width="14.5546875" style="507" customWidth="1"/>
    <col min="3895" max="3895" width="16.33203125" style="507" customWidth="1"/>
    <col min="3896" max="3896" width="18.109375" style="507" customWidth="1"/>
    <col min="3897" max="3897" width="14.109375" style="507" customWidth="1"/>
    <col min="3898" max="4124" width="0" style="507" hidden="1"/>
    <col min="4125" max="4125" width="7.5546875" style="507" customWidth="1"/>
    <col min="4126" max="4126" width="36.77734375" style="507" customWidth="1"/>
    <col min="4127" max="4128" width="0" style="507" hidden="1"/>
    <col min="4129" max="4129" width="16.6640625" style="507" customWidth="1"/>
    <col min="4130" max="4130" width="17.33203125" style="507" customWidth="1"/>
    <col min="4131" max="4131" width="15.5546875" style="507" customWidth="1"/>
    <col min="4132" max="4132" width="0" style="507" hidden="1"/>
    <col min="4133" max="4133" width="16.6640625" style="507" customWidth="1"/>
    <col min="4134" max="4134" width="17.44140625" style="507" customWidth="1"/>
    <col min="4135" max="4136" width="0" style="507" hidden="1"/>
    <col min="4137" max="4139" width="15.33203125" style="507" customWidth="1"/>
    <col min="4140" max="4140" width="17" style="507" customWidth="1"/>
    <col min="4141" max="4141" width="0" style="507" hidden="1"/>
    <col min="4142" max="4143" width="15.5546875" style="507" customWidth="1"/>
    <col min="4144" max="4144" width="13.6640625" style="507" customWidth="1"/>
    <col min="4145" max="4145" width="9" style="507" customWidth="1"/>
    <col min="4146" max="4146" width="49.88671875" style="507" customWidth="1"/>
    <col min="4147" max="4147" width="0" style="507" hidden="1"/>
    <col min="4148" max="4149" width="15.88671875" style="507" customWidth="1"/>
    <col min="4150" max="4150" width="14.5546875" style="507" customWidth="1"/>
    <col min="4151" max="4151" width="16.33203125" style="507" customWidth="1"/>
    <col min="4152" max="4152" width="18.109375" style="507" customWidth="1"/>
    <col min="4153" max="4153" width="14.109375" style="507" customWidth="1"/>
    <col min="4154" max="4380" width="0" style="507" hidden="1"/>
    <col min="4381" max="4381" width="7.5546875" style="507" customWidth="1"/>
    <col min="4382" max="4382" width="36.77734375" style="507" customWidth="1"/>
    <col min="4383" max="4384" width="0" style="507" hidden="1"/>
    <col min="4385" max="4385" width="16.6640625" style="507" customWidth="1"/>
    <col min="4386" max="4386" width="17.33203125" style="507" customWidth="1"/>
    <col min="4387" max="4387" width="15.5546875" style="507" customWidth="1"/>
    <col min="4388" max="4388" width="0" style="507" hidden="1"/>
    <col min="4389" max="4389" width="16.6640625" style="507" customWidth="1"/>
    <col min="4390" max="4390" width="17.44140625" style="507" customWidth="1"/>
    <col min="4391" max="4392" width="0" style="507" hidden="1"/>
    <col min="4393" max="4395" width="15.33203125" style="507" customWidth="1"/>
    <col min="4396" max="4396" width="17" style="507" customWidth="1"/>
    <col min="4397" max="4397" width="0" style="507" hidden="1"/>
    <col min="4398" max="4399" width="15.5546875" style="507" customWidth="1"/>
    <col min="4400" max="4400" width="13.6640625" style="507" customWidth="1"/>
    <col min="4401" max="4401" width="9" style="507" customWidth="1"/>
    <col min="4402" max="4402" width="49.88671875" style="507" customWidth="1"/>
    <col min="4403" max="4403" width="0" style="507" hidden="1"/>
    <col min="4404" max="4405" width="15.88671875" style="507" customWidth="1"/>
    <col min="4406" max="4406" width="14.5546875" style="507" customWidth="1"/>
    <col min="4407" max="4407" width="16.33203125" style="507" customWidth="1"/>
    <col min="4408" max="4408" width="18.109375" style="507" customWidth="1"/>
    <col min="4409" max="4409" width="14.109375" style="507" customWidth="1"/>
    <col min="4410" max="4636" width="0" style="507" hidden="1"/>
    <col min="4637" max="4637" width="7.5546875" style="507" customWidth="1"/>
    <col min="4638" max="4638" width="36.77734375" style="507" customWidth="1"/>
    <col min="4639" max="4640" width="0" style="507" hidden="1"/>
    <col min="4641" max="4641" width="16.6640625" style="507" customWidth="1"/>
    <col min="4642" max="4642" width="17.33203125" style="507" customWidth="1"/>
    <col min="4643" max="4643" width="15.5546875" style="507" customWidth="1"/>
    <col min="4644" max="4644" width="0" style="507" hidden="1"/>
    <col min="4645" max="4645" width="16.6640625" style="507" customWidth="1"/>
    <col min="4646" max="4646" width="17.44140625" style="507" customWidth="1"/>
    <col min="4647" max="4648" width="0" style="507" hidden="1"/>
    <col min="4649" max="4651" width="15.33203125" style="507" customWidth="1"/>
    <col min="4652" max="4652" width="17" style="507" customWidth="1"/>
    <col min="4653" max="4653" width="0" style="507" hidden="1"/>
    <col min="4654" max="4655" width="15.5546875" style="507" customWidth="1"/>
    <col min="4656" max="4656" width="13.6640625" style="507" customWidth="1"/>
    <col min="4657" max="4657" width="9" style="507" customWidth="1"/>
    <col min="4658" max="4658" width="49.88671875" style="507" customWidth="1"/>
    <col min="4659" max="4659" width="0" style="507" hidden="1"/>
    <col min="4660" max="4661" width="15.88671875" style="507" customWidth="1"/>
    <col min="4662" max="4662" width="14.5546875" style="507" customWidth="1"/>
    <col min="4663" max="4663" width="16.33203125" style="507" customWidth="1"/>
    <col min="4664" max="4664" width="18.109375" style="507" customWidth="1"/>
    <col min="4665" max="4665" width="14.109375" style="507" customWidth="1"/>
    <col min="4666" max="4892" width="0" style="507" hidden="1"/>
    <col min="4893" max="4893" width="7.5546875" style="507" customWidth="1"/>
    <col min="4894" max="4894" width="36.77734375" style="507" customWidth="1"/>
    <col min="4895" max="4896" width="0" style="507" hidden="1"/>
    <col min="4897" max="4897" width="16.6640625" style="507" customWidth="1"/>
    <col min="4898" max="4898" width="17.33203125" style="507" customWidth="1"/>
    <col min="4899" max="4899" width="15.5546875" style="507" customWidth="1"/>
    <col min="4900" max="4900" width="0" style="507" hidden="1"/>
    <col min="4901" max="4901" width="16.6640625" style="507" customWidth="1"/>
    <col min="4902" max="4902" width="17.44140625" style="507" customWidth="1"/>
    <col min="4903" max="4904" width="0" style="507" hidden="1"/>
    <col min="4905" max="4907" width="15.33203125" style="507" customWidth="1"/>
    <col min="4908" max="4908" width="17" style="507" customWidth="1"/>
    <col min="4909" max="4909" width="0" style="507" hidden="1"/>
    <col min="4910" max="4911" width="15.5546875" style="507" customWidth="1"/>
    <col min="4912" max="4912" width="13.6640625" style="507" customWidth="1"/>
    <col min="4913" max="4913" width="9" style="507" customWidth="1"/>
    <col min="4914" max="4914" width="49.88671875" style="507" customWidth="1"/>
    <col min="4915" max="4915" width="0" style="507" hidden="1"/>
    <col min="4916" max="4917" width="15.88671875" style="507" customWidth="1"/>
    <col min="4918" max="4918" width="14.5546875" style="507" customWidth="1"/>
    <col min="4919" max="4919" width="16.33203125" style="507" customWidth="1"/>
    <col min="4920" max="4920" width="18.109375" style="507" customWidth="1"/>
    <col min="4921" max="4921" width="14.109375" style="507" customWidth="1"/>
    <col min="4922" max="5148" width="0" style="507" hidden="1"/>
    <col min="5149" max="5149" width="7.5546875" style="507" customWidth="1"/>
    <col min="5150" max="5150" width="36.77734375" style="507" customWidth="1"/>
    <col min="5151" max="5152" width="0" style="507" hidden="1"/>
    <col min="5153" max="5153" width="16.6640625" style="507" customWidth="1"/>
    <col min="5154" max="5154" width="17.33203125" style="507" customWidth="1"/>
    <col min="5155" max="5155" width="15.5546875" style="507" customWidth="1"/>
    <col min="5156" max="5156" width="0" style="507" hidden="1"/>
    <col min="5157" max="5157" width="16.6640625" style="507" customWidth="1"/>
    <col min="5158" max="5158" width="17.44140625" style="507" customWidth="1"/>
    <col min="5159" max="5160" width="0" style="507" hidden="1"/>
    <col min="5161" max="5163" width="15.33203125" style="507" customWidth="1"/>
    <col min="5164" max="5164" width="17" style="507" customWidth="1"/>
    <col min="5165" max="5165" width="0" style="507" hidden="1"/>
    <col min="5166" max="5167" width="15.5546875" style="507" customWidth="1"/>
    <col min="5168" max="5168" width="13.6640625" style="507" customWidth="1"/>
    <col min="5169" max="5169" width="9" style="507" customWidth="1"/>
    <col min="5170" max="5170" width="49.88671875" style="507" customWidth="1"/>
    <col min="5171" max="5171" width="0" style="507" hidden="1"/>
    <col min="5172" max="5173" width="15.88671875" style="507" customWidth="1"/>
    <col min="5174" max="5174" width="14.5546875" style="507" customWidth="1"/>
    <col min="5175" max="5175" width="16.33203125" style="507" customWidth="1"/>
    <col min="5176" max="5176" width="18.109375" style="507" customWidth="1"/>
    <col min="5177" max="5177" width="14.109375" style="507" customWidth="1"/>
    <col min="5178" max="5404" width="0" style="507" hidden="1"/>
    <col min="5405" max="5405" width="7.5546875" style="507" customWidth="1"/>
    <col min="5406" max="5406" width="36.77734375" style="507" customWidth="1"/>
    <col min="5407" max="5408" width="0" style="507" hidden="1"/>
    <col min="5409" max="5409" width="16.6640625" style="507" customWidth="1"/>
    <col min="5410" max="5410" width="17.33203125" style="507" customWidth="1"/>
    <col min="5411" max="5411" width="15.5546875" style="507" customWidth="1"/>
    <col min="5412" max="5412" width="0" style="507" hidden="1"/>
    <col min="5413" max="5413" width="16.6640625" style="507" customWidth="1"/>
    <col min="5414" max="5414" width="17.44140625" style="507" customWidth="1"/>
    <col min="5415" max="5416" width="0" style="507" hidden="1"/>
    <col min="5417" max="5419" width="15.33203125" style="507" customWidth="1"/>
    <col min="5420" max="5420" width="17" style="507" customWidth="1"/>
    <col min="5421" max="5421" width="0" style="507" hidden="1"/>
    <col min="5422" max="5423" width="15.5546875" style="507" customWidth="1"/>
    <col min="5424" max="5424" width="13.6640625" style="507" customWidth="1"/>
    <col min="5425" max="5425" width="9" style="507" customWidth="1"/>
    <col min="5426" max="5426" width="49.88671875" style="507" customWidth="1"/>
    <col min="5427" max="5427" width="0" style="507" hidden="1"/>
    <col min="5428" max="5429" width="15.88671875" style="507" customWidth="1"/>
    <col min="5430" max="5430" width="14.5546875" style="507" customWidth="1"/>
    <col min="5431" max="5431" width="16.33203125" style="507" customWidth="1"/>
    <col min="5432" max="5432" width="18.109375" style="507" customWidth="1"/>
    <col min="5433" max="5433" width="14.109375" style="507" customWidth="1"/>
    <col min="5434" max="5660" width="0" style="507" hidden="1"/>
    <col min="5661" max="5661" width="7.5546875" style="507" customWidth="1"/>
    <col min="5662" max="5662" width="36.77734375" style="507" customWidth="1"/>
    <col min="5663" max="5664" width="0" style="507" hidden="1"/>
    <col min="5665" max="5665" width="16.6640625" style="507" customWidth="1"/>
    <col min="5666" max="5666" width="17.33203125" style="507" customWidth="1"/>
    <col min="5667" max="5667" width="15.5546875" style="507" customWidth="1"/>
    <col min="5668" max="5668" width="0" style="507" hidden="1"/>
    <col min="5669" max="5669" width="16.6640625" style="507" customWidth="1"/>
    <col min="5670" max="5670" width="17.44140625" style="507" customWidth="1"/>
    <col min="5671" max="5672" width="0" style="507" hidden="1"/>
    <col min="5673" max="5675" width="15.33203125" style="507" customWidth="1"/>
    <col min="5676" max="5676" width="17" style="507" customWidth="1"/>
    <col min="5677" max="5677" width="0" style="507" hidden="1"/>
    <col min="5678" max="5679" width="15.5546875" style="507" customWidth="1"/>
    <col min="5680" max="5680" width="13.6640625" style="507" customWidth="1"/>
    <col min="5681" max="5681" width="9" style="507" customWidth="1"/>
    <col min="5682" max="5682" width="49.88671875" style="507" customWidth="1"/>
    <col min="5683" max="5683" width="0" style="507" hidden="1"/>
    <col min="5684" max="5685" width="15.88671875" style="507" customWidth="1"/>
    <col min="5686" max="5686" width="14.5546875" style="507" customWidth="1"/>
    <col min="5687" max="5687" width="16.33203125" style="507" customWidth="1"/>
    <col min="5688" max="5688" width="18.109375" style="507" customWidth="1"/>
    <col min="5689" max="5689" width="14.109375" style="507" customWidth="1"/>
    <col min="5690" max="5916" width="0" style="507" hidden="1"/>
    <col min="5917" max="5917" width="7.5546875" style="507" customWidth="1"/>
    <col min="5918" max="5918" width="36.77734375" style="507" customWidth="1"/>
    <col min="5919" max="5920" width="0" style="507" hidden="1"/>
    <col min="5921" max="5921" width="16.6640625" style="507" customWidth="1"/>
    <col min="5922" max="5922" width="17.33203125" style="507" customWidth="1"/>
    <col min="5923" max="5923" width="15.5546875" style="507" customWidth="1"/>
    <col min="5924" max="5924" width="0" style="507" hidden="1"/>
    <col min="5925" max="5925" width="16.6640625" style="507" customWidth="1"/>
    <col min="5926" max="5926" width="17.44140625" style="507" customWidth="1"/>
    <col min="5927" max="5928" width="0" style="507" hidden="1"/>
    <col min="5929" max="5931" width="15.33203125" style="507" customWidth="1"/>
    <col min="5932" max="5932" width="17" style="507" customWidth="1"/>
    <col min="5933" max="5933" width="0" style="507" hidden="1"/>
    <col min="5934" max="5935" width="15.5546875" style="507" customWidth="1"/>
    <col min="5936" max="5936" width="13.6640625" style="507" customWidth="1"/>
    <col min="5937" max="5937" width="9" style="507" customWidth="1"/>
    <col min="5938" max="5938" width="49.88671875" style="507" customWidth="1"/>
    <col min="5939" max="5939" width="0" style="507" hidden="1"/>
    <col min="5940" max="5941" width="15.88671875" style="507" customWidth="1"/>
    <col min="5942" max="5942" width="14.5546875" style="507" customWidth="1"/>
    <col min="5943" max="5943" width="16.33203125" style="507" customWidth="1"/>
    <col min="5944" max="5944" width="18.109375" style="507" customWidth="1"/>
    <col min="5945" max="5945" width="14.109375" style="507" customWidth="1"/>
    <col min="5946" max="6172" width="0" style="507" hidden="1"/>
    <col min="6173" max="6173" width="7.5546875" style="507" customWidth="1"/>
    <col min="6174" max="6174" width="36.77734375" style="507" customWidth="1"/>
    <col min="6175" max="6176" width="0" style="507" hidden="1"/>
    <col min="6177" max="6177" width="16.6640625" style="507" customWidth="1"/>
    <col min="6178" max="6178" width="17.33203125" style="507" customWidth="1"/>
    <col min="6179" max="6179" width="15.5546875" style="507" customWidth="1"/>
    <col min="6180" max="6180" width="0" style="507" hidden="1"/>
    <col min="6181" max="6181" width="16.6640625" style="507" customWidth="1"/>
    <col min="6182" max="6182" width="17.44140625" style="507" customWidth="1"/>
    <col min="6183" max="6184" width="0" style="507" hidden="1"/>
    <col min="6185" max="6187" width="15.33203125" style="507" customWidth="1"/>
    <col min="6188" max="6188" width="17" style="507" customWidth="1"/>
    <col min="6189" max="6189" width="0" style="507" hidden="1"/>
    <col min="6190" max="6191" width="15.5546875" style="507" customWidth="1"/>
    <col min="6192" max="6192" width="13.6640625" style="507" customWidth="1"/>
    <col min="6193" max="6193" width="9" style="507" customWidth="1"/>
    <col min="6194" max="6194" width="49.88671875" style="507" customWidth="1"/>
    <col min="6195" max="6195" width="0" style="507" hidden="1"/>
    <col min="6196" max="6197" width="15.88671875" style="507" customWidth="1"/>
    <col min="6198" max="6198" width="14.5546875" style="507" customWidth="1"/>
    <col min="6199" max="6199" width="16.33203125" style="507" customWidth="1"/>
    <col min="6200" max="6200" width="18.109375" style="507" customWidth="1"/>
    <col min="6201" max="6201" width="14.109375" style="507" customWidth="1"/>
    <col min="6202" max="6428" width="0" style="507" hidden="1"/>
    <col min="6429" max="6429" width="7.5546875" style="507" customWidth="1"/>
    <col min="6430" max="6430" width="36.77734375" style="507" customWidth="1"/>
    <col min="6431" max="6432" width="0" style="507" hidden="1"/>
    <col min="6433" max="6433" width="16.6640625" style="507" customWidth="1"/>
    <col min="6434" max="6434" width="17.33203125" style="507" customWidth="1"/>
    <col min="6435" max="6435" width="15.5546875" style="507" customWidth="1"/>
    <col min="6436" max="6436" width="0" style="507" hidden="1"/>
    <col min="6437" max="6437" width="16.6640625" style="507" customWidth="1"/>
    <col min="6438" max="6438" width="17.44140625" style="507" customWidth="1"/>
    <col min="6439" max="6440" width="0" style="507" hidden="1"/>
    <col min="6441" max="6443" width="15.33203125" style="507" customWidth="1"/>
    <col min="6444" max="6444" width="17" style="507" customWidth="1"/>
    <col min="6445" max="6445" width="0" style="507" hidden="1"/>
    <col min="6446" max="6447" width="15.5546875" style="507" customWidth="1"/>
    <col min="6448" max="6448" width="13.6640625" style="507" customWidth="1"/>
    <col min="6449" max="6449" width="9" style="507" customWidth="1"/>
    <col min="6450" max="6450" width="49.88671875" style="507" customWidth="1"/>
    <col min="6451" max="6451" width="0" style="507" hidden="1"/>
    <col min="6452" max="6453" width="15.88671875" style="507" customWidth="1"/>
    <col min="6454" max="6454" width="14.5546875" style="507" customWidth="1"/>
    <col min="6455" max="6455" width="16.33203125" style="507" customWidth="1"/>
    <col min="6456" max="6456" width="18.109375" style="507" customWidth="1"/>
    <col min="6457" max="6457" width="14.109375" style="507" customWidth="1"/>
    <col min="6458" max="6684" width="0" style="507" hidden="1"/>
    <col min="6685" max="6685" width="7.5546875" style="507" customWidth="1"/>
    <col min="6686" max="6686" width="36.77734375" style="507" customWidth="1"/>
    <col min="6687" max="6688" width="0" style="507" hidden="1"/>
    <col min="6689" max="6689" width="16.6640625" style="507" customWidth="1"/>
    <col min="6690" max="6690" width="17.33203125" style="507" customWidth="1"/>
    <col min="6691" max="6691" width="15.5546875" style="507" customWidth="1"/>
    <col min="6692" max="6692" width="0" style="507" hidden="1"/>
    <col min="6693" max="6693" width="16.6640625" style="507" customWidth="1"/>
    <col min="6694" max="6694" width="17.44140625" style="507" customWidth="1"/>
    <col min="6695" max="6696" width="0" style="507" hidden="1"/>
    <col min="6697" max="6699" width="15.33203125" style="507" customWidth="1"/>
    <col min="6700" max="6700" width="17" style="507" customWidth="1"/>
    <col min="6701" max="6701" width="0" style="507" hidden="1"/>
    <col min="6702" max="6703" width="15.5546875" style="507" customWidth="1"/>
    <col min="6704" max="6704" width="13.6640625" style="507" customWidth="1"/>
    <col min="6705" max="6705" width="9" style="507" customWidth="1"/>
    <col min="6706" max="6706" width="49.88671875" style="507" customWidth="1"/>
    <col min="6707" max="6707" width="0" style="507" hidden="1"/>
    <col min="6708" max="6709" width="15.88671875" style="507" customWidth="1"/>
    <col min="6710" max="6710" width="14.5546875" style="507" customWidth="1"/>
    <col min="6711" max="6711" width="16.33203125" style="507" customWidth="1"/>
    <col min="6712" max="6712" width="18.109375" style="507" customWidth="1"/>
    <col min="6713" max="6713" width="14.109375" style="507" customWidth="1"/>
    <col min="6714" max="6940" width="0" style="507" hidden="1"/>
    <col min="6941" max="6941" width="7.5546875" style="507" customWidth="1"/>
    <col min="6942" max="6942" width="36.77734375" style="507" customWidth="1"/>
    <col min="6943" max="6944" width="0" style="507" hidden="1"/>
    <col min="6945" max="6945" width="16.6640625" style="507" customWidth="1"/>
    <col min="6946" max="6946" width="17.33203125" style="507" customWidth="1"/>
    <col min="6947" max="6947" width="15.5546875" style="507" customWidth="1"/>
    <col min="6948" max="6948" width="0" style="507" hidden="1"/>
    <col min="6949" max="6949" width="16.6640625" style="507" customWidth="1"/>
    <col min="6950" max="6950" width="17.44140625" style="507" customWidth="1"/>
    <col min="6951" max="6952" width="0" style="507" hidden="1"/>
    <col min="6953" max="6955" width="15.33203125" style="507" customWidth="1"/>
    <col min="6956" max="6956" width="17" style="507" customWidth="1"/>
    <col min="6957" max="6957" width="0" style="507" hidden="1"/>
    <col min="6958" max="6959" width="15.5546875" style="507" customWidth="1"/>
    <col min="6960" max="6960" width="13.6640625" style="507" customWidth="1"/>
    <col min="6961" max="6961" width="9" style="507" customWidth="1"/>
    <col min="6962" max="6962" width="49.88671875" style="507" customWidth="1"/>
    <col min="6963" max="6963" width="0" style="507" hidden="1"/>
    <col min="6964" max="6965" width="15.88671875" style="507" customWidth="1"/>
    <col min="6966" max="6966" width="14.5546875" style="507" customWidth="1"/>
    <col min="6967" max="6967" width="16.33203125" style="507" customWidth="1"/>
    <col min="6968" max="6968" width="18.109375" style="507" customWidth="1"/>
    <col min="6969" max="6969" width="14.109375" style="507" customWidth="1"/>
    <col min="6970" max="7196" width="0" style="507" hidden="1"/>
    <col min="7197" max="7197" width="7.5546875" style="507" customWidth="1"/>
    <col min="7198" max="7198" width="36.77734375" style="507" customWidth="1"/>
    <col min="7199" max="7200" width="0" style="507" hidden="1"/>
    <col min="7201" max="7201" width="16.6640625" style="507" customWidth="1"/>
    <col min="7202" max="7202" width="17.33203125" style="507" customWidth="1"/>
    <col min="7203" max="7203" width="15.5546875" style="507" customWidth="1"/>
    <col min="7204" max="7204" width="0" style="507" hidden="1"/>
    <col min="7205" max="7205" width="16.6640625" style="507" customWidth="1"/>
    <col min="7206" max="7206" width="17.44140625" style="507" customWidth="1"/>
    <col min="7207" max="7208" width="0" style="507" hidden="1"/>
    <col min="7209" max="7211" width="15.33203125" style="507" customWidth="1"/>
    <col min="7212" max="7212" width="17" style="507" customWidth="1"/>
    <col min="7213" max="7213" width="0" style="507" hidden="1"/>
    <col min="7214" max="7215" width="15.5546875" style="507" customWidth="1"/>
    <col min="7216" max="7216" width="13.6640625" style="507" customWidth="1"/>
    <col min="7217" max="7217" width="9" style="507" customWidth="1"/>
    <col min="7218" max="7218" width="49.88671875" style="507" customWidth="1"/>
    <col min="7219" max="7219" width="0" style="507" hidden="1"/>
    <col min="7220" max="7221" width="15.88671875" style="507" customWidth="1"/>
    <col min="7222" max="7222" width="14.5546875" style="507" customWidth="1"/>
    <col min="7223" max="7223" width="16.33203125" style="507" customWidth="1"/>
    <col min="7224" max="7224" width="18.109375" style="507" customWidth="1"/>
    <col min="7225" max="7225" width="14.109375" style="507" customWidth="1"/>
    <col min="7226" max="7452" width="0" style="507" hidden="1"/>
    <col min="7453" max="7453" width="7.5546875" style="507" customWidth="1"/>
    <col min="7454" max="7454" width="36.77734375" style="507" customWidth="1"/>
    <col min="7455" max="7456" width="0" style="507" hidden="1"/>
    <col min="7457" max="7457" width="16.6640625" style="507" customWidth="1"/>
    <col min="7458" max="7458" width="17.33203125" style="507" customWidth="1"/>
    <col min="7459" max="7459" width="15.5546875" style="507" customWidth="1"/>
    <col min="7460" max="7460" width="0" style="507" hidden="1"/>
    <col min="7461" max="7461" width="16.6640625" style="507" customWidth="1"/>
    <col min="7462" max="7462" width="17.44140625" style="507" customWidth="1"/>
    <col min="7463" max="7464" width="0" style="507" hidden="1"/>
    <col min="7465" max="7467" width="15.33203125" style="507" customWidth="1"/>
    <col min="7468" max="7468" width="17" style="507" customWidth="1"/>
    <col min="7469" max="7469" width="0" style="507" hidden="1"/>
    <col min="7470" max="7471" width="15.5546875" style="507" customWidth="1"/>
    <col min="7472" max="7472" width="13.6640625" style="507" customWidth="1"/>
    <col min="7473" max="7473" width="9" style="507" customWidth="1"/>
    <col min="7474" max="7474" width="49.88671875" style="507" customWidth="1"/>
    <col min="7475" max="7475" width="0" style="507" hidden="1"/>
    <col min="7476" max="7477" width="15.88671875" style="507" customWidth="1"/>
    <col min="7478" max="7478" width="14.5546875" style="507" customWidth="1"/>
    <col min="7479" max="7479" width="16.33203125" style="507" customWidth="1"/>
    <col min="7480" max="7480" width="18.109375" style="507" customWidth="1"/>
    <col min="7481" max="7481" width="14.109375" style="507" customWidth="1"/>
    <col min="7482" max="7708" width="0" style="507" hidden="1"/>
    <col min="7709" max="7709" width="7.5546875" style="507" customWidth="1"/>
    <col min="7710" max="7710" width="36.77734375" style="507" customWidth="1"/>
    <col min="7711" max="7712" width="0" style="507" hidden="1"/>
    <col min="7713" max="7713" width="16.6640625" style="507" customWidth="1"/>
    <col min="7714" max="7714" width="17.33203125" style="507" customWidth="1"/>
    <col min="7715" max="7715" width="15.5546875" style="507" customWidth="1"/>
    <col min="7716" max="7716" width="0" style="507" hidden="1"/>
    <col min="7717" max="7717" width="16.6640625" style="507" customWidth="1"/>
    <col min="7718" max="7718" width="17.44140625" style="507" customWidth="1"/>
    <col min="7719" max="7720" width="0" style="507" hidden="1"/>
    <col min="7721" max="7723" width="15.33203125" style="507" customWidth="1"/>
    <col min="7724" max="7724" width="17" style="507" customWidth="1"/>
    <col min="7725" max="7725" width="0" style="507" hidden="1"/>
    <col min="7726" max="7727" width="15.5546875" style="507" customWidth="1"/>
    <col min="7728" max="7728" width="13.6640625" style="507" customWidth="1"/>
    <col min="7729" max="7729" width="9" style="507" customWidth="1"/>
    <col min="7730" max="7730" width="49.88671875" style="507" customWidth="1"/>
    <col min="7731" max="7731" width="0" style="507" hidden="1"/>
    <col min="7732" max="7733" width="15.88671875" style="507" customWidth="1"/>
    <col min="7734" max="7734" width="14.5546875" style="507" customWidth="1"/>
    <col min="7735" max="7735" width="16.33203125" style="507" customWidth="1"/>
    <col min="7736" max="7736" width="18.109375" style="507" customWidth="1"/>
    <col min="7737" max="7737" width="14.109375" style="507" customWidth="1"/>
    <col min="7738" max="7964" width="0" style="507" hidden="1"/>
    <col min="7965" max="7965" width="7.5546875" style="507" customWidth="1"/>
    <col min="7966" max="7966" width="36.77734375" style="507" customWidth="1"/>
    <col min="7967" max="7968" width="0" style="507" hidden="1"/>
    <col min="7969" max="7969" width="16.6640625" style="507" customWidth="1"/>
    <col min="7970" max="7970" width="17.33203125" style="507" customWidth="1"/>
    <col min="7971" max="7971" width="15.5546875" style="507" customWidth="1"/>
    <col min="7972" max="7972" width="0" style="507" hidden="1"/>
    <col min="7973" max="7973" width="16.6640625" style="507" customWidth="1"/>
    <col min="7974" max="7974" width="17.44140625" style="507" customWidth="1"/>
    <col min="7975" max="7976" width="0" style="507" hidden="1"/>
    <col min="7977" max="7979" width="15.33203125" style="507" customWidth="1"/>
    <col min="7980" max="7980" width="17" style="507" customWidth="1"/>
    <col min="7981" max="7981" width="0" style="507" hidden="1"/>
    <col min="7982" max="7983" width="15.5546875" style="507" customWidth="1"/>
    <col min="7984" max="7984" width="13.6640625" style="507" customWidth="1"/>
    <col min="7985" max="7985" width="9" style="507" customWidth="1"/>
    <col min="7986" max="7986" width="49.88671875" style="507" customWidth="1"/>
    <col min="7987" max="7987" width="0" style="507" hidden="1"/>
    <col min="7988" max="7989" width="15.88671875" style="507" customWidth="1"/>
    <col min="7990" max="7990" width="14.5546875" style="507" customWidth="1"/>
    <col min="7991" max="7991" width="16.33203125" style="507" customWidth="1"/>
    <col min="7992" max="7992" width="18.109375" style="507" customWidth="1"/>
    <col min="7993" max="7993" width="14.109375" style="507" customWidth="1"/>
    <col min="7994" max="8220" width="0" style="507" hidden="1"/>
    <col min="8221" max="8221" width="7.5546875" style="507" customWidth="1"/>
    <col min="8222" max="8222" width="36.77734375" style="507" customWidth="1"/>
    <col min="8223" max="8224" width="0" style="507" hidden="1"/>
    <col min="8225" max="8225" width="16.6640625" style="507" customWidth="1"/>
    <col min="8226" max="8226" width="17.33203125" style="507" customWidth="1"/>
    <col min="8227" max="8227" width="15.5546875" style="507" customWidth="1"/>
    <col min="8228" max="8228" width="0" style="507" hidden="1"/>
    <col min="8229" max="8229" width="16.6640625" style="507" customWidth="1"/>
    <col min="8230" max="8230" width="17.44140625" style="507" customWidth="1"/>
    <col min="8231" max="8232" width="0" style="507" hidden="1"/>
    <col min="8233" max="8235" width="15.33203125" style="507" customWidth="1"/>
    <col min="8236" max="8236" width="17" style="507" customWidth="1"/>
    <col min="8237" max="8237" width="0" style="507" hidden="1"/>
    <col min="8238" max="8239" width="15.5546875" style="507" customWidth="1"/>
    <col min="8240" max="8240" width="13.6640625" style="507" customWidth="1"/>
    <col min="8241" max="8241" width="9" style="507" customWidth="1"/>
    <col min="8242" max="8242" width="49.88671875" style="507" customWidth="1"/>
    <col min="8243" max="8243" width="0" style="507" hidden="1"/>
    <col min="8244" max="8245" width="15.88671875" style="507" customWidth="1"/>
    <col min="8246" max="8246" width="14.5546875" style="507" customWidth="1"/>
    <col min="8247" max="8247" width="16.33203125" style="507" customWidth="1"/>
    <col min="8248" max="8248" width="18.109375" style="507" customWidth="1"/>
    <col min="8249" max="8249" width="14.109375" style="507" customWidth="1"/>
    <col min="8250" max="8476" width="0" style="507" hidden="1"/>
    <col min="8477" max="8477" width="7.5546875" style="507" customWidth="1"/>
    <col min="8478" max="8478" width="36.77734375" style="507" customWidth="1"/>
    <col min="8479" max="8480" width="0" style="507" hidden="1"/>
    <col min="8481" max="8481" width="16.6640625" style="507" customWidth="1"/>
    <col min="8482" max="8482" width="17.33203125" style="507" customWidth="1"/>
    <col min="8483" max="8483" width="15.5546875" style="507" customWidth="1"/>
    <col min="8484" max="8484" width="0" style="507" hidden="1"/>
    <col min="8485" max="8485" width="16.6640625" style="507" customWidth="1"/>
    <col min="8486" max="8486" width="17.44140625" style="507" customWidth="1"/>
    <col min="8487" max="8488" width="0" style="507" hidden="1"/>
    <col min="8489" max="8491" width="15.33203125" style="507" customWidth="1"/>
    <col min="8492" max="8492" width="17" style="507" customWidth="1"/>
    <col min="8493" max="8493" width="0" style="507" hidden="1"/>
    <col min="8494" max="8495" width="15.5546875" style="507" customWidth="1"/>
    <col min="8496" max="8496" width="13.6640625" style="507" customWidth="1"/>
    <col min="8497" max="8497" width="9" style="507" customWidth="1"/>
    <col min="8498" max="8498" width="49.88671875" style="507" customWidth="1"/>
    <col min="8499" max="8499" width="0" style="507" hidden="1"/>
    <col min="8500" max="8501" width="15.88671875" style="507" customWidth="1"/>
    <col min="8502" max="8502" width="14.5546875" style="507" customWidth="1"/>
    <col min="8503" max="8503" width="16.33203125" style="507" customWidth="1"/>
    <col min="8504" max="8504" width="18.109375" style="507" customWidth="1"/>
    <col min="8505" max="8505" width="14.109375" style="507" customWidth="1"/>
    <col min="8506" max="8732" width="0" style="507" hidden="1"/>
    <col min="8733" max="8733" width="7.5546875" style="507" customWidth="1"/>
    <col min="8734" max="8734" width="36.77734375" style="507" customWidth="1"/>
    <col min="8735" max="8736" width="0" style="507" hidden="1"/>
    <col min="8737" max="8737" width="16.6640625" style="507" customWidth="1"/>
    <col min="8738" max="8738" width="17.33203125" style="507" customWidth="1"/>
    <col min="8739" max="8739" width="15.5546875" style="507" customWidth="1"/>
    <col min="8740" max="8740" width="0" style="507" hidden="1"/>
    <col min="8741" max="8741" width="16.6640625" style="507" customWidth="1"/>
    <col min="8742" max="8742" width="17.44140625" style="507" customWidth="1"/>
    <col min="8743" max="8744" width="0" style="507" hidden="1"/>
    <col min="8745" max="8747" width="15.33203125" style="507" customWidth="1"/>
    <col min="8748" max="8748" width="17" style="507" customWidth="1"/>
    <col min="8749" max="8749" width="0" style="507" hidden="1"/>
    <col min="8750" max="8751" width="15.5546875" style="507" customWidth="1"/>
    <col min="8752" max="8752" width="13.6640625" style="507" customWidth="1"/>
    <col min="8753" max="8753" width="9" style="507" customWidth="1"/>
    <col min="8754" max="8754" width="49.88671875" style="507" customWidth="1"/>
    <col min="8755" max="8755" width="0" style="507" hidden="1"/>
    <col min="8756" max="8757" width="15.88671875" style="507" customWidth="1"/>
    <col min="8758" max="8758" width="14.5546875" style="507" customWidth="1"/>
    <col min="8759" max="8759" width="16.33203125" style="507" customWidth="1"/>
    <col min="8760" max="8760" width="18.109375" style="507" customWidth="1"/>
    <col min="8761" max="8761" width="14.109375" style="507" customWidth="1"/>
    <col min="8762" max="8988" width="0" style="507" hidden="1"/>
    <col min="8989" max="8989" width="7.5546875" style="507" customWidth="1"/>
    <col min="8990" max="8990" width="36.77734375" style="507" customWidth="1"/>
    <col min="8991" max="8992" width="0" style="507" hidden="1"/>
    <col min="8993" max="8993" width="16.6640625" style="507" customWidth="1"/>
    <col min="8994" max="8994" width="17.33203125" style="507" customWidth="1"/>
    <col min="8995" max="8995" width="15.5546875" style="507" customWidth="1"/>
    <col min="8996" max="8996" width="0" style="507" hidden="1"/>
    <col min="8997" max="8997" width="16.6640625" style="507" customWidth="1"/>
    <col min="8998" max="8998" width="17.44140625" style="507" customWidth="1"/>
    <col min="8999" max="9000" width="0" style="507" hidden="1"/>
    <col min="9001" max="9003" width="15.33203125" style="507" customWidth="1"/>
    <col min="9004" max="9004" width="17" style="507" customWidth="1"/>
    <col min="9005" max="9005" width="0" style="507" hidden="1"/>
    <col min="9006" max="9007" width="15.5546875" style="507" customWidth="1"/>
    <col min="9008" max="9008" width="13.6640625" style="507" customWidth="1"/>
    <col min="9009" max="9009" width="9" style="507" customWidth="1"/>
    <col min="9010" max="9010" width="49.88671875" style="507" customWidth="1"/>
    <col min="9011" max="9011" width="0" style="507" hidden="1"/>
    <col min="9012" max="9013" width="15.88671875" style="507" customWidth="1"/>
    <col min="9014" max="9014" width="14.5546875" style="507" customWidth="1"/>
    <col min="9015" max="9015" width="16.33203125" style="507" customWidth="1"/>
    <col min="9016" max="9016" width="18.109375" style="507" customWidth="1"/>
    <col min="9017" max="9017" width="14.109375" style="507" customWidth="1"/>
    <col min="9018" max="9244" width="0" style="507" hidden="1"/>
    <col min="9245" max="9245" width="7.5546875" style="507" customWidth="1"/>
    <col min="9246" max="9246" width="36.77734375" style="507" customWidth="1"/>
    <col min="9247" max="9248" width="0" style="507" hidden="1"/>
    <col min="9249" max="9249" width="16.6640625" style="507" customWidth="1"/>
    <col min="9250" max="9250" width="17.33203125" style="507" customWidth="1"/>
    <col min="9251" max="9251" width="15.5546875" style="507" customWidth="1"/>
    <col min="9252" max="9252" width="0" style="507" hidden="1"/>
    <col min="9253" max="9253" width="16.6640625" style="507" customWidth="1"/>
    <col min="9254" max="9254" width="17.44140625" style="507" customWidth="1"/>
    <col min="9255" max="9256" width="0" style="507" hidden="1"/>
    <col min="9257" max="9259" width="15.33203125" style="507" customWidth="1"/>
    <col min="9260" max="9260" width="17" style="507" customWidth="1"/>
    <col min="9261" max="9261" width="0" style="507" hidden="1"/>
    <col min="9262" max="9263" width="15.5546875" style="507" customWidth="1"/>
    <col min="9264" max="9264" width="13.6640625" style="507" customWidth="1"/>
    <col min="9265" max="9265" width="9" style="507" customWidth="1"/>
    <col min="9266" max="9266" width="49.88671875" style="507" customWidth="1"/>
    <col min="9267" max="9267" width="0" style="507" hidden="1"/>
    <col min="9268" max="9269" width="15.88671875" style="507" customWidth="1"/>
    <col min="9270" max="9270" width="14.5546875" style="507" customWidth="1"/>
    <col min="9271" max="9271" width="16.33203125" style="507" customWidth="1"/>
    <col min="9272" max="9272" width="18.109375" style="507" customWidth="1"/>
    <col min="9273" max="9273" width="14.109375" style="507" customWidth="1"/>
    <col min="9274" max="9500" width="0" style="507" hidden="1"/>
    <col min="9501" max="9501" width="7.5546875" style="507" customWidth="1"/>
    <col min="9502" max="9502" width="36.77734375" style="507" customWidth="1"/>
    <col min="9503" max="9504" width="0" style="507" hidden="1"/>
    <col min="9505" max="9505" width="16.6640625" style="507" customWidth="1"/>
    <col min="9506" max="9506" width="17.33203125" style="507" customWidth="1"/>
    <col min="9507" max="9507" width="15.5546875" style="507" customWidth="1"/>
    <col min="9508" max="9508" width="0" style="507" hidden="1"/>
    <col min="9509" max="9509" width="16.6640625" style="507" customWidth="1"/>
    <col min="9510" max="9510" width="17.44140625" style="507" customWidth="1"/>
    <col min="9511" max="9512" width="0" style="507" hidden="1"/>
    <col min="9513" max="9515" width="15.33203125" style="507" customWidth="1"/>
    <col min="9516" max="9516" width="17" style="507" customWidth="1"/>
    <col min="9517" max="9517" width="0" style="507" hidden="1"/>
    <col min="9518" max="9519" width="15.5546875" style="507" customWidth="1"/>
    <col min="9520" max="9520" width="13.6640625" style="507" customWidth="1"/>
    <col min="9521" max="9521" width="9" style="507" customWidth="1"/>
    <col min="9522" max="9522" width="49.88671875" style="507" customWidth="1"/>
    <col min="9523" max="9523" width="0" style="507" hidden="1"/>
    <col min="9524" max="9525" width="15.88671875" style="507" customWidth="1"/>
    <col min="9526" max="9526" width="14.5546875" style="507" customWidth="1"/>
    <col min="9527" max="9527" width="16.33203125" style="507" customWidth="1"/>
    <col min="9528" max="9528" width="18.109375" style="507" customWidth="1"/>
    <col min="9529" max="9529" width="14.109375" style="507" customWidth="1"/>
    <col min="9530" max="9756" width="0" style="507" hidden="1"/>
    <col min="9757" max="9757" width="7.5546875" style="507" customWidth="1"/>
    <col min="9758" max="9758" width="36.77734375" style="507" customWidth="1"/>
    <col min="9759" max="9760" width="0" style="507" hidden="1"/>
    <col min="9761" max="9761" width="16.6640625" style="507" customWidth="1"/>
    <col min="9762" max="9762" width="17.33203125" style="507" customWidth="1"/>
    <col min="9763" max="9763" width="15.5546875" style="507" customWidth="1"/>
    <col min="9764" max="9764" width="0" style="507" hidden="1"/>
    <col min="9765" max="9765" width="16.6640625" style="507" customWidth="1"/>
    <col min="9766" max="9766" width="17.44140625" style="507" customWidth="1"/>
    <col min="9767" max="9768" width="0" style="507" hidden="1"/>
    <col min="9769" max="9771" width="15.33203125" style="507" customWidth="1"/>
    <col min="9772" max="9772" width="17" style="507" customWidth="1"/>
    <col min="9773" max="9773" width="0" style="507" hidden="1"/>
    <col min="9774" max="9775" width="15.5546875" style="507" customWidth="1"/>
    <col min="9776" max="9776" width="13.6640625" style="507" customWidth="1"/>
    <col min="9777" max="9777" width="9" style="507" customWidth="1"/>
    <col min="9778" max="9778" width="49.88671875" style="507" customWidth="1"/>
    <col min="9779" max="9779" width="0" style="507" hidden="1"/>
    <col min="9780" max="9781" width="15.88671875" style="507" customWidth="1"/>
    <col min="9782" max="9782" width="14.5546875" style="507" customWidth="1"/>
    <col min="9783" max="9783" width="16.33203125" style="507" customWidth="1"/>
    <col min="9784" max="9784" width="18.109375" style="507" customWidth="1"/>
    <col min="9785" max="9785" width="14.109375" style="507" customWidth="1"/>
    <col min="9786" max="10012" width="0" style="507" hidden="1"/>
    <col min="10013" max="10013" width="7.5546875" style="507" customWidth="1"/>
    <col min="10014" max="10014" width="36.77734375" style="507" customWidth="1"/>
    <col min="10015" max="10016" width="0" style="507" hidden="1"/>
    <col min="10017" max="10017" width="16.6640625" style="507" customWidth="1"/>
    <col min="10018" max="10018" width="17.33203125" style="507" customWidth="1"/>
    <col min="10019" max="10019" width="15.5546875" style="507" customWidth="1"/>
    <col min="10020" max="10020" width="0" style="507" hidden="1"/>
    <col min="10021" max="10021" width="16.6640625" style="507" customWidth="1"/>
    <col min="10022" max="10022" width="17.44140625" style="507" customWidth="1"/>
    <col min="10023" max="10024" width="0" style="507" hidden="1"/>
    <col min="10025" max="10027" width="15.33203125" style="507" customWidth="1"/>
    <col min="10028" max="10028" width="17" style="507" customWidth="1"/>
    <col min="10029" max="10029" width="0" style="507" hidden="1"/>
    <col min="10030" max="10031" width="15.5546875" style="507" customWidth="1"/>
    <col min="10032" max="10032" width="13.6640625" style="507" customWidth="1"/>
    <col min="10033" max="10033" width="9" style="507" customWidth="1"/>
    <col min="10034" max="10034" width="49.88671875" style="507" customWidth="1"/>
    <col min="10035" max="10035" width="0" style="507" hidden="1"/>
    <col min="10036" max="10037" width="15.88671875" style="507" customWidth="1"/>
    <col min="10038" max="10038" width="14.5546875" style="507" customWidth="1"/>
    <col min="10039" max="10039" width="16.33203125" style="507" customWidth="1"/>
    <col min="10040" max="10040" width="18.109375" style="507" customWidth="1"/>
    <col min="10041" max="10041" width="14.109375" style="507" customWidth="1"/>
    <col min="10042" max="10268" width="0" style="507" hidden="1"/>
    <col min="10269" max="10269" width="7.5546875" style="507" customWidth="1"/>
    <col min="10270" max="10270" width="36.77734375" style="507" customWidth="1"/>
    <col min="10271" max="10272" width="0" style="507" hidden="1"/>
    <col min="10273" max="10273" width="16.6640625" style="507" customWidth="1"/>
    <col min="10274" max="10274" width="17.33203125" style="507" customWidth="1"/>
    <col min="10275" max="10275" width="15.5546875" style="507" customWidth="1"/>
    <col min="10276" max="10276" width="0" style="507" hidden="1"/>
    <col min="10277" max="10277" width="16.6640625" style="507" customWidth="1"/>
    <col min="10278" max="10278" width="17.44140625" style="507" customWidth="1"/>
    <col min="10279" max="10280" width="0" style="507" hidden="1"/>
    <col min="10281" max="10283" width="15.33203125" style="507" customWidth="1"/>
    <col min="10284" max="10284" width="17" style="507" customWidth="1"/>
    <col min="10285" max="10285" width="0" style="507" hidden="1"/>
    <col min="10286" max="10287" width="15.5546875" style="507" customWidth="1"/>
    <col min="10288" max="10288" width="13.6640625" style="507" customWidth="1"/>
    <col min="10289" max="10289" width="9" style="507" customWidth="1"/>
    <col min="10290" max="10290" width="49.88671875" style="507" customWidth="1"/>
    <col min="10291" max="10291" width="0" style="507" hidden="1"/>
    <col min="10292" max="10293" width="15.88671875" style="507" customWidth="1"/>
    <col min="10294" max="10294" width="14.5546875" style="507" customWidth="1"/>
    <col min="10295" max="10295" width="16.33203125" style="507" customWidth="1"/>
    <col min="10296" max="10296" width="18.109375" style="507" customWidth="1"/>
    <col min="10297" max="10297" width="14.109375" style="507" customWidth="1"/>
    <col min="10298" max="10524" width="0" style="507" hidden="1"/>
    <col min="10525" max="10525" width="7.5546875" style="507" customWidth="1"/>
    <col min="10526" max="10526" width="36.77734375" style="507" customWidth="1"/>
    <col min="10527" max="10528" width="0" style="507" hidden="1"/>
    <col min="10529" max="10529" width="16.6640625" style="507" customWidth="1"/>
    <col min="10530" max="10530" width="17.33203125" style="507" customWidth="1"/>
    <col min="10531" max="10531" width="15.5546875" style="507" customWidth="1"/>
    <col min="10532" max="10532" width="0" style="507" hidden="1"/>
    <col min="10533" max="10533" width="16.6640625" style="507" customWidth="1"/>
    <col min="10534" max="10534" width="17.44140625" style="507" customWidth="1"/>
    <col min="10535" max="10536" width="0" style="507" hidden="1"/>
    <col min="10537" max="10539" width="15.33203125" style="507" customWidth="1"/>
    <col min="10540" max="10540" width="17" style="507" customWidth="1"/>
    <col min="10541" max="10541" width="0" style="507" hidden="1"/>
    <col min="10542" max="10543" width="15.5546875" style="507" customWidth="1"/>
    <col min="10544" max="10544" width="13.6640625" style="507" customWidth="1"/>
    <col min="10545" max="10545" width="9" style="507" customWidth="1"/>
    <col min="10546" max="10546" width="49.88671875" style="507" customWidth="1"/>
    <col min="10547" max="10547" width="0" style="507" hidden="1"/>
    <col min="10548" max="10549" width="15.88671875" style="507" customWidth="1"/>
    <col min="10550" max="10550" width="14.5546875" style="507" customWidth="1"/>
    <col min="10551" max="10551" width="16.33203125" style="507" customWidth="1"/>
    <col min="10552" max="10552" width="18.109375" style="507" customWidth="1"/>
    <col min="10553" max="10553" width="14.109375" style="507" customWidth="1"/>
    <col min="10554" max="10780" width="0" style="507" hidden="1"/>
    <col min="10781" max="10781" width="7.5546875" style="507" customWidth="1"/>
    <col min="10782" max="10782" width="36.77734375" style="507" customWidth="1"/>
    <col min="10783" max="10784" width="0" style="507" hidden="1"/>
    <col min="10785" max="10785" width="16.6640625" style="507" customWidth="1"/>
    <col min="10786" max="10786" width="17.33203125" style="507" customWidth="1"/>
    <col min="10787" max="10787" width="15.5546875" style="507" customWidth="1"/>
    <col min="10788" max="10788" width="0" style="507" hidden="1"/>
    <col min="10789" max="10789" width="16.6640625" style="507" customWidth="1"/>
    <col min="10790" max="10790" width="17.44140625" style="507" customWidth="1"/>
    <col min="10791" max="10792" width="0" style="507" hidden="1"/>
    <col min="10793" max="10795" width="15.33203125" style="507" customWidth="1"/>
    <col min="10796" max="10796" width="17" style="507" customWidth="1"/>
    <col min="10797" max="10797" width="0" style="507" hidden="1"/>
    <col min="10798" max="10799" width="15.5546875" style="507" customWidth="1"/>
    <col min="10800" max="10800" width="13.6640625" style="507" customWidth="1"/>
    <col min="10801" max="10801" width="9" style="507" customWidth="1"/>
    <col min="10802" max="10802" width="49.88671875" style="507" customWidth="1"/>
    <col min="10803" max="10803" width="0" style="507" hidden="1"/>
    <col min="10804" max="10805" width="15.88671875" style="507" customWidth="1"/>
    <col min="10806" max="10806" width="14.5546875" style="507" customWidth="1"/>
    <col min="10807" max="10807" width="16.33203125" style="507" customWidth="1"/>
    <col min="10808" max="10808" width="18.109375" style="507" customWidth="1"/>
    <col min="10809" max="10809" width="14.109375" style="507" customWidth="1"/>
    <col min="10810" max="11036" width="0" style="507" hidden="1"/>
    <col min="11037" max="11037" width="7.5546875" style="507" customWidth="1"/>
    <col min="11038" max="11038" width="36.77734375" style="507" customWidth="1"/>
    <col min="11039" max="11040" width="0" style="507" hidden="1"/>
    <col min="11041" max="11041" width="16.6640625" style="507" customWidth="1"/>
    <col min="11042" max="11042" width="17.33203125" style="507" customWidth="1"/>
    <col min="11043" max="11043" width="15.5546875" style="507" customWidth="1"/>
    <col min="11044" max="11044" width="0" style="507" hidden="1"/>
    <col min="11045" max="11045" width="16.6640625" style="507" customWidth="1"/>
    <col min="11046" max="11046" width="17.44140625" style="507" customWidth="1"/>
    <col min="11047" max="11048" width="0" style="507" hidden="1"/>
    <col min="11049" max="11051" width="15.33203125" style="507" customWidth="1"/>
    <col min="11052" max="11052" width="17" style="507" customWidth="1"/>
    <col min="11053" max="11053" width="0" style="507" hidden="1"/>
    <col min="11054" max="11055" width="15.5546875" style="507" customWidth="1"/>
    <col min="11056" max="11056" width="13.6640625" style="507" customWidth="1"/>
    <col min="11057" max="11057" width="9" style="507" customWidth="1"/>
    <col min="11058" max="11058" width="49.88671875" style="507" customWidth="1"/>
    <col min="11059" max="11059" width="0" style="507" hidden="1"/>
    <col min="11060" max="11061" width="15.88671875" style="507" customWidth="1"/>
    <col min="11062" max="11062" width="14.5546875" style="507" customWidth="1"/>
    <col min="11063" max="11063" width="16.33203125" style="507" customWidth="1"/>
    <col min="11064" max="11064" width="18.109375" style="507" customWidth="1"/>
    <col min="11065" max="11065" width="14.109375" style="507" customWidth="1"/>
    <col min="11066" max="11292" width="0" style="507" hidden="1"/>
    <col min="11293" max="11293" width="7.5546875" style="507" customWidth="1"/>
    <col min="11294" max="11294" width="36.77734375" style="507" customWidth="1"/>
    <col min="11295" max="11296" width="0" style="507" hidden="1"/>
    <col min="11297" max="11297" width="16.6640625" style="507" customWidth="1"/>
    <col min="11298" max="11298" width="17.33203125" style="507" customWidth="1"/>
    <col min="11299" max="11299" width="15.5546875" style="507" customWidth="1"/>
    <col min="11300" max="11300" width="0" style="507" hidden="1"/>
    <col min="11301" max="11301" width="16.6640625" style="507" customWidth="1"/>
    <col min="11302" max="11302" width="17.44140625" style="507" customWidth="1"/>
    <col min="11303" max="11304" width="0" style="507" hidden="1"/>
    <col min="11305" max="11307" width="15.33203125" style="507" customWidth="1"/>
    <col min="11308" max="11308" width="17" style="507" customWidth="1"/>
    <col min="11309" max="11309" width="0" style="507" hidden="1"/>
    <col min="11310" max="11311" width="15.5546875" style="507" customWidth="1"/>
    <col min="11312" max="11312" width="13.6640625" style="507" customWidth="1"/>
    <col min="11313" max="11313" width="9" style="507" customWidth="1"/>
    <col min="11314" max="11314" width="49.88671875" style="507" customWidth="1"/>
    <col min="11315" max="11315" width="0" style="507" hidden="1"/>
    <col min="11316" max="11317" width="15.88671875" style="507" customWidth="1"/>
    <col min="11318" max="11318" width="14.5546875" style="507" customWidth="1"/>
    <col min="11319" max="11319" width="16.33203125" style="507" customWidth="1"/>
    <col min="11320" max="11320" width="18.109375" style="507" customWidth="1"/>
    <col min="11321" max="11321" width="14.109375" style="507" customWidth="1"/>
    <col min="11322" max="11548" width="0" style="507" hidden="1"/>
    <col min="11549" max="11549" width="7.5546875" style="507" customWidth="1"/>
    <col min="11550" max="11550" width="36.77734375" style="507" customWidth="1"/>
    <col min="11551" max="11552" width="0" style="507" hidden="1"/>
    <col min="11553" max="11553" width="16.6640625" style="507" customWidth="1"/>
    <col min="11554" max="11554" width="17.33203125" style="507" customWidth="1"/>
    <col min="11555" max="11555" width="15.5546875" style="507" customWidth="1"/>
    <col min="11556" max="11556" width="0" style="507" hidden="1"/>
    <col min="11557" max="11557" width="16.6640625" style="507" customWidth="1"/>
    <col min="11558" max="11558" width="17.44140625" style="507" customWidth="1"/>
    <col min="11559" max="11560" width="0" style="507" hidden="1"/>
    <col min="11561" max="11563" width="15.33203125" style="507" customWidth="1"/>
    <col min="11564" max="11564" width="17" style="507" customWidth="1"/>
    <col min="11565" max="11565" width="0" style="507" hidden="1"/>
    <col min="11566" max="11567" width="15.5546875" style="507" customWidth="1"/>
    <col min="11568" max="11568" width="13.6640625" style="507" customWidth="1"/>
    <col min="11569" max="11569" width="9" style="507" customWidth="1"/>
    <col min="11570" max="11570" width="49.88671875" style="507" customWidth="1"/>
    <col min="11571" max="11571" width="0" style="507" hidden="1"/>
    <col min="11572" max="11573" width="15.88671875" style="507" customWidth="1"/>
    <col min="11574" max="11574" width="14.5546875" style="507" customWidth="1"/>
    <col min="11575" max="11575" width="16.33203125" style="507" customWidth="1"/>
    <col min="11576" max="11576" width="18.109375" style="507" customWidth="1"/>
    <col min="11577" max="11577" width="14.109375" style="507" customWidth="1"/>
    <col min="11578" max="11804" width="0" style="507" hidden="1"/>
    <col min="11805" max="11805" width="7.5546875" style="507" customWidth="1"/>
    <col min="11806" max="11806" width="36.77734375" style="507" customWidth="1"/>
    <col min="11807" max="11808" width="0" style="507" hidden="1"/>
    <col min="11809" max="11809" width="16.6640625" style="507" customWidth="1"/>
    <col min="11810" max="11810" width="17.33203125" style="507" customWidth="1"/>
    <col min="11811" max="11811" width="15.5546875" style="507" customWidth="1"/>
    <col min="11812" max="11812" width="0" style="507" hidden="1"/>
    <col min="11813" max="11813" width="16.6640625" style="507" customWidth="1"/>
    <col min="11814" max="11814" width="17.44140625" style="507" customWidth="1"/>
    <col min="11815" max="11816" width="0" style="507" hidden="1"/>
    <col min="11817" max="11819" width="15.33203125" style="507" customWidth="1"/>
    <col min="11820" max="11820" width="17" style="507" customWidth="1"/>
    <col min="11821" max="11821" width="0" style="507" hidden="1"/>
    <col min="11822" max="11823" width="15.5546875" style="507" customWidth="1"/>
    <col min="11824" max="11824" width="13.6640625" style="507" customWidth="1"/>
    <col min="11825" max="11825" width="9" style="507" customWidth="1"/>
    <col min="11826" max="11826" width="49.88671875" style="507" customWidth="1"/>
    <col min="11827" max="11827" width="0" style="507" hidden="1"/>
    <col min="11828" max="11829" width="15.88671875" style="507" customWidth="1"/>
    <col min="11830" max="11830" width="14.5546875" style="507" customWidth="1"/>
    <col min="11831" max="11831" width="16.33203125" style="507" customWidth="1"/>
    <col min="11832" max="11832" width="18.109375" style="507" customWidth="1"/>
    <col min="11833" max="11833" width="14.109375" style="507" customWidth="1"/>
    <col min="11834" max="12060" width="0" style="507" hidden="1"/>
    <col min="12061" max="12061" width="7.5546875" style="507" customWidth="1"/>
    <col min="12062" max="12062" width="36.77734375" style="507" customWidth="1"/>
    <col min="12063" max="12064" width="0" style="507" hidden="1"/>
    <col min="12065" max="12065" width="16.6640625" style="507" customWidth="1"/>
    <col min="12066" max="12066" width="17.33203125" style="507" customWidth="1"/>
    <col min="12067" max="12067" width="15.5546875" style="507" customWidth="1"/>
    <col min="12068" max="12068" width="0" style="507" hidden="1"/>
    <col min="12069" max="12069" width="16.6640625" style="507" customWidth="1"/>
    <col min="12070" max="12070" width="17.44140625" style="507" customWidth="1"/>
    <col min="12071" max="12072" width="0" style="507" hidden="1"/>
    <col min="12073" max="12075" width="15.33203125" style="507" customWidth="1"/>
    <col min="12076" max="12076" width="17" style="507" customWidth="1"/>
    <col min="12077" max="12077" width="0" style="507" hidden="1"/>
    <col min="12078" max="12079" width="15.5546875" style="507" customWidth="1"/>
    <col min="12080" max="12080" width="13.6640625" style="507" customWidth="1"/>
    <col min="12081" max="12081" width="9" style="507" customWidth="1"/>
    <col min="12082" max="12082" width="49.88671875" style="507" customWidth="1"/>
    <col min="12083" max="12083" width="0" style="507" hidden="1"/>
    <col min="12084" max="12085" width="15.88671875" style="507" customWidth="1"/>
    <col min="12086" max="12086" width="14.5546875" style="507" customWidth="1"/>
    <col min="12087" max="12087" width="16.33203125" style="507" customWidth="1"/>
    <col min="12088" max="12088" width="18.109375" style="507" customWidth="1"/>
    <col min="12089" max="12089" width="14.109375" style="507" customWidth="1"/>
    <col min="12090" max="12316" width="0" style="507" hidden="1"/>
    <col min="12317" max="12317" width="7.5546875" style="507" customWidth="1"/>
    <col min="12318" max="12318" width="36.77734375" style="507" customWidth="1"/>
    <col min="12319" max="12320" width="0" style="507" hidden="1"/>
    <col min="12321" max="12321" width="16.6640625" style="507" customWidth="1"/>
    <col min="12322" max="12322" width="17.33203125" style="507" customWidth="1"/>
    <col min="12323" max="12323" width="15.5546875" style="507" customWidth="1"/>
    <col min="12324" max="12324" width="0" style="507" hidden="1"/>
    <col min="12325" max="12325" width="16.6640625" style="507" customWidth="1"/>
    <col min="12326" max="12326" width="17.44140625" style="507" customWidth="1"/>
    <col min="12327" max="12328" width="0" style="507" hidden="1"/>
    <col min="12329" max="12331" width="15.33203125" style="507" customWidth="1"/>
    <col min="12332" max="12332" width="17" style="507" customWidth="1"/>
    <col min="12333" max="12333" width="0" style="507" hidden="1"/>
    <col min="12334" max="12335" width="15.5546875" style="507" customWidth="1"/>
    <col min="12336" max="12336" width="13.6640625" style="507" customWidth="1"/>
    <col min="12337" max="12337" width="9" style="507" customWidth="1"/>
    <col min="12338" max="12338" width="49.88671875" style="507" customWidth="1"/>
    <col min="12339" max="12339" width="0" style="507" hidden="1"/>
    <col min="12340" max="12341" width="15.88671875" style="507" customWidth="1"/>
    <col min="12342" max="12342" width="14.5546875" style="507" customWidth="1"/>
    <col min="12343" max="12343" width="16.33203125" style="507" customWidth="1"/>
    <col min="12344" max="12344" width="18.109375" style="507" customWidth="1"/>
    <col min="12345" max="12345" width="14.109375" style="507" customWidth="1"/>
    <col min="12346" max="12572" width="0" style="507" hidden="1"/>
    <col min="12573" max="12573" width="7.5546875" style="507" customWidth="1"/>
    <col min="12574" max="12574" width="36.77734375" style="507" customWidth="1"/>
    <col min="12575" max="12576" width="0" style="507" hidden="1"/>
    <col min="12577" max="12577" width="16.6640625" style="507" customWidth="1"/>
    <col min="12578" max="12578" width="17.33203125" style="507" customWidth="1"/>
    <col min="12579" max="12579" width="15.5546875" style="507" customWidth="1"/>
    <col min="12580" max="12580" width="0" style="507" hidden="1"/>
    <col min="12581" max="12581" width="16.6640625" style="507" customWidth="1"/>
    <col min="12582" max="12582" width="17.44140625" style="507" customWidth="1"/>
    <col min="12583" max="12584" width="0" style="507" hidden="1"/>
    <col min="12585" max="12587" width="15.33203125" style="507" customWidth="1"/>
    <col min="12588" max="12588" width="17" style="507" customWidth="1"/>
    <col min="12589" max="12589" width="0" style="507" hidden="1"/>
    <col min="12590" max="12591" width="15.5546875" style="507" customWidth="1"/>
    <col min="12592" max="12592" width="13.6640625" style="507" customWidth="1"/>
    <col min="12593" max="12593" width="9" style="507" customWidth="1"/>
    <col min="12594" max="12594" width="49.88671875" style="507" customWidth="1"/>
    <col min="12595" max="12595" width="0" style="507" hidden="1"/>
    <col min="12596" max="12597" width="15.88671875" style="507" customWidth="1"/>
    <col min="12598" max="12598" width="14.5546875" style="507" customWidth="1"/>
    <col min="12599" max="12599" width="16.33203125" style="507" customWidth="1"/>
    <col min="12600" max="12600" width="18.109375" style="507" customWidth="1"/>
    <col min="12601" max="12601" width="14.109375" style="507" customWidth="1"/>
    <col min="12602" max="12828" width="0" style="507" hidden="1"/>
    <col min="12829" max="12829" width="7.5546875" style="507" customWidth="1"/>
    <col min="12830" max="12830" width="36.77734375" style="507" customWidth="1"/>
    <col min="12831" max="12832" width="0" style="507" hidden="1"/>
    <col min="12833" max="12833" width="16.6640625" style="507" customWidth="1"/>
    <col min="12834" max="12834" width="17.33203125" style="507" customWidth="1"/>
    <col min="12835" max="12835" width="15.5546875" style="507" customWidth="1"/>
    <col min="12836" max="12836" width="0" style="507" hidden="1"/>
    <col min="12837" max="12837" width="16.6640625" style="507" customWidth="1"/>
    <col min="12838" max="12838" width="17.44140625" style="507" customWidth="1"/>
    <col min="12839" max="12840" width="0" style="507" hidden="1"/>
    <col min="12841" max="12843" width="15.33203125" style="507" customWidth="1"/>
    <col min="12844" max="12844" width="17" style="507" customWidth="1"/>
    <col min="12845" max="12845" width="0" style="507" hidden="1"/>
    <col min="12846" max="12847" width="15.5546875" style="507" customWidth="1"/>
    <col min="12848" max="12848" width="13.6640625" style="507" customWidth="1"/>
    <col min="12849" max="12849" width="9" style="507" customWidth="1"/>
    <col min="12850" max="12850" width="49.88671875" style="507" customWidth="1"/>
    <col min="12851" max="12851" width="0" style="507" hidden="1"/>
    <col min="12852" max="12853" width="15.88671875" style="507" customWidth="1"/>
    <col min="12854" max="12854" width="14.5546875" style="507" customWidth="1"/>
    <col min="12855" max="12855" width="16.33203125" style="507" customWidth="1"/>
    <col min="12856" max="12856" width="18.109375" style="507" customWidth="1"/>
    <col min="12857" max="12857" width="14.109375" style="507" customWidth="1"/>
    <col min="12858" max="13084" width="0" style="507" hidden="1"/>
    <col min="13085" max="13085" width="7.5546875" style="507" customWidth="1"/>
    <col min="13086" max="13086" width="36.77734375" style="507" customWidth="1"/>
    <col min="13087" max="13088" width="0" style="507" hidden="1"/>
    <col min="13089" max="13089" width="16.6640625" style="507" customWidth="1"/>
    <col min="13090" max="13090" width="17.33203125" style="507" customWidth="1"/>
    <col min="13091" max="13091" width="15.5546875" style="507" customWidth="1"/>
    <col min="13092" max="13092" width="0" style="507" hidden="1"/>
    <col min="13093" max="13093" width="16.6640625" style="507" customWidth="1"/>
    <col min="13094" max="13094" width="17.44140625" style="507" customWidth="1"/>
    <col min="13095" max="13096" width="0" style="507" hidden="1"/>
    <col min="13097" max="13099" width="15.33203125" style="507" customWidth="1"/>
    <col min="13100" max="13100" width="17" style="507" customWidth="1"/>
    <col min="13101" max="13101" width="0" style="507" hidden="1"/>
    <col min="13102" max="13103" width="15.5546875" style="507" customWidth="1"/>
    <col min="13104" max="13104" width="13.6640625" style="507" customWidth="1"/>
    <col min="13105" max="13105" width="9" style="507" customWidth="1"/>
    <col min="13106" max="13106" width="49.88671875" style="507" customWidth="1"/>
    <col min="13107" max="13107" width="0" style="507" hidden="1"/>
    <col min="13108" max="13109" width="15.88671875" style="507" customWidth="1"/>
    <col min="13110" max="13110" width="14.5546875" style="507" customWidth="1"/>
    <col min="13111" max="13111" width="16.33203125" style="507" customWidth="1"/>
    <col min="13112" max="13112" width="18.109375" style="507" customWidth="1"/>
    <col min="13113" max="13113" width="14.109375" style="507" customWidth="1"/>
    <col min="13114" max="13340" width="0" style="507" hidden="1"/>
    <col min="13341" max="13341" width="7.5546875" style="507" customWidth="1"/>
    <col min="13342" max="13342" width="36.77734375" style="507" customWidth="1"/>
    <col min="13343" max="13344" width="0" style="507" hidden="1"/>
    <col min="13345" max="13345" width="16.6640625" style="507" customWidth="1"/>
    <col min="13346" max="13346" width="17.33203125" style="507" customWidth="1"/>
    <col min="13347" max="13347" width="15.5546875" style="507" customWidth="1"/>
    <col min="13348" max="13348" width="0" style="507" hidden="1"/>
    <col min="13349" max="13349" width="16.6640625" style="507" customWidth="1"/>
    <col min="13350" max="13350" width="17.44140625" style="507" customWidth="1"/>
    <col min="13351" max="13352" width="0" style="507" hidden="1"/>
    <col min="13353" max="13355" width="15.33203125" style="507" customWidth="1"/>
    <col min="13356" max="13356" width="17" style="507" customWidth="1"/>
    <col min="13357" max="13357" width="0" style="507" hidden="1"/>
    <col min="13358" max="13359" width="15.5546875" style="507" customWidth="1"/>
    <col min="13360" max="13360" width="13.6640625" style="507" customWidth="1"/>
    <col min="13361" max="13361" width="9" style="507" customWidth="1"/>
    <col min="13362" max="13362" width="49.88671875" style="507" customWidth="1"/>
    <col min="13363" max="13363" width="0" style="507" hidden="1"/>
    <col min="13364" max="13365" width="15.88671875" style="507" customWidth="1"/>
    <col min="13366" max="13366" width="14.5546875" style="507" customWidth="1"/>
    <col min="13367" max="13367" width="16.33203125" style="507" customWidth="1"/>
    <col min="13368" max="13368" width="18.109375" style="507" customWidth="1"/>
    <col min="13369" max="13369" width="14.109375" style="507" customWidth="1"/>
    <col min="13370" max="13596" width="0" style="507" hidden="1"/>
    <col min="13597" max="13597" width="7.5546875" style="507" customWidth="1"/>
    <col min="13598" max="13598" width="36.77734375" style="507" customWidth="1"/>
    <col min="13599" max="13600" width="0" style="507" hidden="1"/>
    <col min="13601" max="13601" width="16.6640625" style="507" customWidth="1"/>
    <col min="13602" max="13602" width="17.33203125" style="507" customWidth="1"/>
    <col min="13603" max="13603" width="15.5546875" style="507" customWidth="1"/>
    <col min="13604" max="13604" width="0" style="507" hidden="1"/>
    <col min="13605" max="13605" width="16.6640625" style="507" customWidth="1"/>
    <col min="13606" max="13606" width="17.44140625" style="507" customWidth="1"/>
    <col min="13607" max="13608" width="0" style="507" hidden="1"/>
    <col min="13609" max="13611" width="15.33203125" style="507" customWidth="1"/>
    <col min="13612" max="13612" width="17" style="507" customWidth="1"/>
    <col min="13613" max="13613" width="0" style="507" hidden="1"/>
    <col min="13614" max="13615" width="15.5546875" style="507" customWidth="1"/>
    <col min="13616" max="13616" width="13.6640625" style="507" customWidth="1"/>
    <col min="13617" max="13617" width="9" style="507" customWidth="1"/>
    <col min="13618" max="13618" width="49.88671875" style="507" customWidth="1"/>
    <col min="13619" max="13619" width="0" style="507" hidden="1"/>
    <col min="13620" max="13621" width="15.88671875" style="507" customWidth="1"/>
    <col min="13622" max="13622" width="14.5546875" style="507" customWidth="1"/>
    <col min="13623" max="13623" width="16.33203125" style="507" customWidth="1"/>
    <col min="13624" max="13624" width="18.109375" style="507" customWidth="1"/>
    <col min="13625" max="13625" width="14.109375" style="507" customWidth="1"/>
    <col min="13626" max="13852" width="0" style="507" hidden="1"/>
    <col min="13853" max="13853" width="7.5546875" style="507" customWidth="1"/>
    <col min="13854" max="13854" width="36.77734375" style="507" customWidth="1"/>
    <col min="13855" max="13856" width="0" style="507" hidden="1"/>
    <col min="13857" max="13857" width="16.6640625" style="507" customWidth="1"/>
    <col min="13858" max="13858" width="17.33203125" style="507" customWidth="1"/>
    <col min="13859" max="13859" width="15.5546875" style="507" customWidth="1"/>
    <col min="13860" max="13860" width="0" style="507" hidden="1"/>
    <col min="13861" max="13861" width="16.6640625" style="507" customWidth="1"/>
    <col min="13862" max="13862" width="17.44140625" style="507" customWidth="1"/>
    <col min="13863" max="13864" width="0" style="507" hidden="1"/>
    <col min="13865" max="13867" width="15.33203125" style="507" customWidth="1"/>
    <col min="13868" max="13868" width="17" style="507" customWidth="1"/>
    <col min="13869" max="13869" width="0" style="507" hidden="1"/>
    <col min="13870" max="13871" width="15.5546875" style="507" customWidth="1"/>
    <col min="13872" max="13872" width="13.6640625" style="507" customWidth="1"/>
    <col min="13873" max="13873" width="9" style="507" customWidth="1"/>
    <col min="13874" max="13874" width="49.88671875" style="507" customWidth="1"/>
    <col min="13875" max="13875" width="0" style="507" hidden="1"/>
    <col min="13876" max="13877" width="15.88671875" style="507" customWidth="1"/>
    <col min="13878" max="13878" width="14.5546875" style="507" customWidth="1"/>
    <col min="13879" max="13879" width="16.33203125" style="507" customWidth="1"/>
    <col min="13880" max="13880" width="18.109375" style="507" customWidth="1"/>
    <col min="13881" max="13881" width="14.109375" style="507" customWidth="1"/>
    <col min="13882" max="14108" width="0" style="507" hidden="1"/>
    <col min="14109" max="14109" width="7.5546875" style="507" customWidth="1"/>
    <col min="14110" max="14110" width="36.77734375" style="507" customWidth="1"/>
    <col min="14111" max="14112" width="0" style="507" hidden="1"/>
    <col min="14113" max="14113" width="16.6640625" style="507" customWidth="1"/>
    <col min="14114" max="14114" width="17.33203125" style="507" customWidth="1"/>
    <col min="14115" max="14115" width="15.5546875" style="507" customWidth="1"/>
    <col min="14116" max="14116" width="0" style="507" hidden="1"/>
    <col min="14117" max="14117" width="16.6640625" style="507" customWidth="1"/>
    <col min="14118" max="14118" width="17.44140625" style="507" customWidth="1"/>
    <col min="14119" max="14120" width="0" style="507" hidden="1"/>
    <col min="14121" max="14123" width="15.33203125" style="507" customWidth="1"/>
    <col min="14124" max="14124" width="17" style="507" customWidth="1"/>
    <col min="14125" max="14125" width="0" style="507" hidden="1"/>
    <col min="14126" max="14127" width="15.5546875" style="507" customWidth="1"/>
    <col min="14128" max="14128" width="13.6640625" style="507" customWidth="1"/>
    <col min="14129" max="14129" width="9" style="507" customWidth="1"/>
    <col min="14130" max="14130" width="49.88671875" style="507" customWidth="1"/>
    <col min="14131" max="14131" width="0" style="507" hidden="1"/>
    <col min="14132" max="14133" width="15.88671875" style="507" customWidth="1"/>
    <col min="14134" max="14134" width="14.5546875" style="507" customWidth="1"/>
    <col min="14135" max="14135" width="16.33203125" style="507" customWidth="1"/>
    <col min="14136" max="14136" width="18.109375" style="507" customWidth="1"/>
    <col min="14137" max="14137" width="14.109375" style="507" customWidth="1"/>
    <col min="14138" max="14364" width="0" style="507" hidden="1"/>
    <col min="14365" max="14365" width="7.5546875" style="507" customWidth="1"/>
    <col min="14366" max="14366" width="36.77734375" style="507" customWidth="1"/>
    <col min="14367" max="14368" width="0" style="507" hidden="1"/>
    <col min="14369" max="14369" width="16.6640625" style="507" customWidth="1"/>
    <col min="14370" max="14370" width="17.33203125" style="507" customWidth="1"/>
    <col min="14371" max="14371" width="15.5546875" style="507" customWidth="1"/>
    <col min="14372" max="14372" width="0" style="507" hidden="1"/>
    <col min="14373" max="14373" width="16.6640625" style="507" customWidth="1"/>
    <col min="14374" max="14374" width="17.44140625" style="507" customWidth="1"/>
    <col min="14375" max="14376" width="0" style="507" hidden="1"/>
    <col min="14377" max="14379" width="15.33203125" style="507" customWidth="1"/>
    <col min="14380" max="14380" width="17" style="507" customWidth="1"/>
    <col min="14381" max="14381" width="0" style="507" hidden="1"/>
    <col min="14382" max="14383" width="15.5546875" style="507" customWidth="1"/>
    <col min="14384" max="14384" width="13.6640625" style="507" customWidth="1"/>
    <col min="14385" max="14385" width="9" style="507" customWidth="1"/>
    <col min="14386" max="14386" width="49.88671875" style="507" customWidth="1"/>
    <col min="14387" max="14387" width="0" style="507" hidden="1"/>
    <col min="14388" max="14389" width="15.88671875" style="507" customWidth="1"/>
    <col min="14390" max="14390" width="14.5546875" style="507" customWidth="1"/>
    <col min="14391" max="14391" width="16.33203125" style="507" customWidth="1"/>
    <col min="14392" max="14392" width="18.109375" style="507" customWidth="1"/>
    <col min="14393" max="14393" width="14.109375" style="507" customWidth="1"/>
    <col min="14394" max="14620" width="0" style="507" hidden="1"/>
    <col min="14621" max="14621" width="7.5546875" style="507" customWidth="1"/>
    <col min="14622" max="14622" width="36.77734375" style="507" customWidth="1"/>
    <col min="14623" max="14624" width="0" style="507" hidden="1"/>
    <col min="14625" max="14625" width="16.6640625" style="507" customWidth="1"/>
    <col min="14626" max="14626" width="17.33203125" style="507" customWidth="1"/>
    <col min="14627" max="14627" width="15.5546875" style="507" customWidth="1"/>
    <col min="14628" max="14628" width="0" style="507" hidden="1"/>
    <col min="14629" max="14629" width="16.6640625" style="507" customWidth="1"/>
    <col min="14630" max="14630" width="17.44140625" style="507" customWidth="1"/>
    <col min="14631" max="14632" width="0" style="507" hidden="1"/>
    <col min="14633" max="14635" width="15.33203125" style="507" customWidth="1"/>
    <col min="14636" max="14636" width="17" style="507" customWidth="1"/>
    <col min="14637" max="14637" width="0" style="507" hidden="1"/>
    <col min="14638" max="14639" width="15.5546875" style="507" customWidth="1"/>
    <col min="14640" max="14640" width="13.6640625" style="507" customWidth="1"/>
    <col min="14641" max="14641" width="9" style="507" customWidth="1"/>
    <col min="14642" max="14642" width="49.88671875" style="507" customWidth="1"/>
    <col min="14643" max="14643" width="0" style="507" hidden="1"/>
    <col min="14644" max="14645" width="15.88671875" style="507" customWidth="1"/>
    <col min="14646" max="14646" width="14.5546875" style="507" customWidth="1"/>
    <col min="14647" max="14647" width="16.33203125" style="507" customWidth="1"/>
    <col min="14648" max="14648" width="18.109375" style="507" customWidth="1"/>
    <col min="14649" max="14649" width="14.109375" style="507" customWidth="1"/>
    <col min="14650" max="14876" width="0" style="507" hidden="1"/>
    <col min="14877" max="14877" width="7.5546875" style="507" customWidth="1"/>
    <col min="14878" max="14878" width="36.77734375" style="507" customWidth="1"/>
    <col min="14879" max="14880" width="0" style="507" hidden="1"/>
    <col min="14881" max="14881" width="16.6640625" style="507" customWidth="1"/>
    <col min="14882" max="14882" width="17.33203125" style="507" customWidth="1"/>
    <col min="14883" max="14883" width="15.5546875" style="507" customWidth="1"/>
    <col min="14884" max="14884" width="0" style="507" hidden="1"/>
    <col min="14885" max="14885" width="16.6640625" style="507" customWidth="1"/>
    <col min="14886" max="14886" width="17.44140625" style="507" customWidth="1"/>
    <col min="14887" max="14888" width="0" style="507" hidden="1"/>
    <col min="14889" max="14891" width="15.33203125" style="507" customWidth="1"/>
    <col min="14892" max="14892" width="17" style="507" customWidth="1"/>
    <col min="14893" max="14893" width="0" style="507" hidden="1"/>
    <col min="14894" max="14895" width="15.5546875" style="507" customWidth="1"/>
    <col min="14896" max="14896" width="13.6640625" style="507" customWidth="1"/>
    <col min="14897" max="14897" width="9" style="507" customWidth="1"/>
    <col min="14898" max="14898" width="49.88671875" style="507" customWidth="1"/>
    <col min="14899" max="14899" width="0" style="507" hidden="1"/>
    <col min="14900" max="14901" width="15.88671875" style="507" customWidth="1"/>
    <col min="14902" max="14902" width="14.5546875" style="507" customWidth="1"/>
    <col min="14903" max="14903" width="16.33203125" style="507" customWidth="1"/>
    <col min="14904" max="14904" width="18.109375" style="507" customWidth="1"/>
    <col min="14905" max="14905" width="14.109375" style="507" customWidth="1"/>
    <col min="14906" max="15132" width="0" style="507" hidden="1"/>
    <col min="15133" max="15133" width="7.5546875" style="507" customWidth="1"/>
    <col min="15134" max="15134" width="36.77734375" style="507" customWidth="1"/>
    <col min="15135" max="15136" width="0" style="507" hidden="1"/>
    <col min="15137" max="15137" width="16.6640625" style="507" customWidth="1"/>
    <col min="15138" max="15138" width="17.33203125" style="507" customWidth="1"/>
    <col min="15139" max="15139" width="15.5546875" style="507" customWidth="1"/>
    <col min="15140" max="15140" width="0" style="507" hidden="1"/>
    <col min="15141" max="15141" width="16.6640625" style="507" customWidth="1"/>
    <col min="15142" max="15142" width="17.44140625" style="507" customWidth="1"/>
    <col min="15143" max="15144" width="0" style="507" hidden="1"/>
    <col min="15145" max="15147" width="15.33203125" style="507" customWidth="1"/>
    <col min="15148" max="15148" width="17" style="507" customWidth="1"/>
    <col min="15149" max="15149" width="0" style="507" hidden="1"/>
    <col min="15150" max="15151" width="15.5546875" style="507" customWidth="1"/>
    <col min="15152" max="15152" width="13.6640625" style="507" customWidth="1"/>
    <col min="15153" max="15153" width="9" style="507" customWidth="1"/>
    <col min="15154" max="15154" width="49.88671875" style="507" customWidth="1"/>
    <col min="15155" max="15155" width="0" style="507" hidden="1"/>
    <col min="15156" max="15157" width="15.88671875" style="507" customWidth="1"/>
    <col min="15158" max="15158" width="14.5546875" style="507" customWidth="1"/>
    <col min="15159" max="15159" width="16.33203125" style="507" customWidth="1"/>
    <col min="15160" max="15160" width="18.109375" style="507" customWidth="1"/>
    <col min="15161" max="15161" width="14.109375" style="507" customWidth="1"/>
    <col min="15162" max="15388" width="0" style="507" hidden="1"/>
    <col min="15389" max="15389" width="7.5546875" style="507" customWidth="1"/>
    <col min="15390" max="15390" width="36.77734375" style="507" customWidth="1"/>
    <col min="15391" max="15392" width="0" style="507" hidden="1"/>
    <col min="15393" max="15393" width="16.6640625" style="507" customWidth="1"/>
    <col min="15394" max="15394" width="17.33203125" style="507" customWidth="1"/>
    <col min="15395" max="15395" width="15.5546875" style="507" customWidth="1"/>
    <col min="15396" max="15396" width="0" style="507" hidden="1"/>
    <col min="15397" max="15397" width="16.6640625" style="507" customWidth="1"/>
    <col min="15398" max="15398" width="17.44140625" style="507" customWidth="1"/>
    <col min="15399" max="15400" width="0" style="507" hidden="1"/>
    <col min="15401" max="15403" width="15.33203125" style="507" customWidth="1"/>
    <col min="15404" max="15404" width="17" style="507" customWidth="1"/>
    <col min="15405" max="15405" width="0" style="507" hidden="1"/>
    <col min="15406" max="15407" width="15.5546875" style="507" customWidth="1"/>
    <col min="15408" max="15408" width="13.6640625" style="507" customWidth="1"/>
    <col min="15409" max="15409" width="9" style="507" customWidth="1"/>
    <col min="15410" max="15410" width="49.88671875" style="507" customWidth="1"/>
    <col min="15411" max="15411" width="0" style="507" hidden="1"/>
    <col min="15412" max="15413" width="15.88671875" style="507" customWidth="1"/>
    <col min="15414" max="15414" width="14.5546875" style="507" customWidth="1"/>
    <col min="15415" max="15415" width="16.33203125" style="507" customWidth="1"/>
    <col min="15416" max="15416" width="18.109375" style="507" customWidth="1"/>
    <col min="15417" max="15417" width="14.109375" style="507" customWidth="1"/>
    <col min="15418" max="15644" width="0" style="507" hidden="1"/>
    <col min="15645" max="15645" width="7.5546875" style="507" customWidth="1"/>
    <col min="15646" max="15646" width="36.77734375" style="507" customWidth="1"/>
    <col min="15647" max="15648" width="0" style="507" hidden="1"/>
    <col min="15649" max="15649" width="16.6640625" style="507" customWidth="1"/>
    <col min="15650" max="15650" width="17.33203125" style="507" customWidth="1"/>
    <col min="15651" max="15651" width="15.5546875" style="507" customWidth="1"/>
    <col min="15652" max="15652" width="0" style="507" hidden="1"/>
    <col min="15653" max="15653" width="16.6640625" style="507" customWidth="1"/>
    <col min="15654" max="15654" width="17.44140625" style="507" customWidth="1"/>
    <col min="15655" max="15656" width="0" style="507" hidden="1"/>
    <col min="15657" max="15659" width="15.33203125" style="507" customWidth="1"/>
    <col min="15660" max="15660" width="17" style="507" customWidth="1"/>
    <col min="15661" max="15661" width="0" style="507" hidden="1"/>
    <col min="15662" max="15663" width="15.5546875" style="507" customWidth="1"/>
    <col min="15664" max="15664" width="13.6640625" style="507" customWidth="1"/>
    <col min="15665" max="15665" width="9" style="507" customWidth="1"/>
    <col min="15666" max="15666" width="49.88671875" style="507" customWidth="1"/>
    <col min="15667" max="15667" width="0" style="507" hidden="1"/>
    <col min="15668" max="15669" width="15.88671875" style="507" customWidth="1"/>
    <col min="15670" max="15670" width="14.5546875" style="507" customWidth="1"/>
    <col min="15671" max="15671" width="16.33203125" style="507" customWidth="1"/>
    <col min="15672" max="15672" width="18.109375" style="507" customWidth="1"/>
    <col min="15673" max="15673" width="14.109375" style="507" customWidth="1"/>
    <col min="15674" max="15900" width="0" style="507" hidden="1"/>
    <col min="15901" max="15901" width="7.5546875" style="507" customWidth="1"/>
    <col min="15902" max="15902" width="36.77734375" style="507" customWidth="1"/>
    <col min="15903" max="15904" width="0" style="507" hidden="1"/>
    <col min="15905" max="15905" width="16.6640625" style="507" customWidth="1"/>
    <col min="15906" max="15906" width="17.33203125" style="507" customWidth="1"/>
    <col min="15907" max="15907" width="15.5546875" style="507" customWidth="1"/>
    <col min="15908" max="15908" width="0" style="507" hidden="1"/>
    <col min="15909" max="15909" width="16.6640625" style="507" customWidth="1"/>
    <col min="15910" max="15910" width="17.44140625" style="507" customWidth="1"/>
    <col min="15911" max="15912" width="0" style="507" hidden="1"/>
    <col min="15913" max="15915" width="15.33203125" style="507" customWidth="1"/>
    <col min="15916" max="15916" width="17" style="507" customWidth="1"/>
    <col min="15917" max="15917" width="0" style="507" hidden="1"/>
    <col min="15918" max="15919" width="15.5546875" style="507" customWidth="1"/>
    <col min="15920" max="15920" width="13.6640625" style="507" customWidth="1"/>
    <col min="15921" max="15921" width="9" style="507" customWidth="1"/>
    <col min="15922" max="15922" width="49.88671875" style="507" customWidth="1"/>
    <col min="15923" max="15923" width="0" style="507" hidden="1"/>
    <col min="15924" max="15925" width="15.88671875" style="507" customWidth="1"/>
    <col min="15926" max="15926" width="14.5546875" style="507" customWidth="1"/>
    <col min="15927" max="15927" width="16.33203125" style="507" customWidth="1"/>
    <col min="15928" max="15928" width="18.109375" style="507" customWidth="1"/>
    <col min="15929" max="15929" width="14.109375" style="507" customWidth="1"/>
    <col min="15930" max="16384" width="0" style="507" hidden="1"/>
  </cols>
  <sheetData>
    <row r="1" spans="1:40" ht="24.75" customHeight="1">
      <c r="A1" s="814" t="s">
        <v>207</v>
      </c>
      <c r="B1" s="814"/>
      <c r="C1" s="814"/>
      <c r="D1" s="814"/>
      <c r="E1" s="814"/>
      <c r="F1" s="814"/>
      <c r="G1" s="814"/>
      <c r="H1" s="814"/>
      <c r="I1" s="814"/>
      <c r="J1" s="814"/>
      <c r="K1" s="814"/>
      <c r="L1" s="814"/>
      <c r="M1" s="814"/>
      <c r="N1" s="814"/>
      <c r="O1" s="505"/>
      <c r="P1" s="506"/>
      <c r="Q1" s="506"/>
      <c r="R1" s="747"/>
      <c r="S1" s="747"/>
      <c r="T1" s="747"/>
      <c r="U1" s="747"/>
      <c r="V1" s="419"/>
      <c r="W1" s="585"/>
      <c r="X1" s="585"/>
      <c r="Y1" s="419"/>
      <c r="Z1" s="419"/>
      <c r="AA1" s="585"/>
      <c r="AB1" s="504"/>
      <c r="AC1" s="504"/>
      <c r="AD1" s="505"/>
      <c r="AE1" s="419"/>
      <c r="AF1" s="585"/>
      <c r="AG1" s="585"/>
      <c r="AH1" s="419"/>
      <c r="AI1" s="419"/>
      <c r="AJ1" s="504"/>
      <c r="AK1" s="504"/>
      <c r="AL1" s="504"/>
      <c r="AM1" s="595"/>
      <c r="AN1" s="595"/>
    </row>
    <row r="2" spans="1:40" ht="24.75" customHeight="1">
      <c r="A2" s="596" t="s">
        <v>218</v>
      </c>
      <c r="B2" s="509"/>
      <c r="C2" s="508"/>
      <c r="D2" s="508"/>
      <c r="E2" s="508"/>
      <c r="F2" s="508"/>
      <c r="G2" s="510"/>
      <c r="H2" s="667"/>
      <c r="I2" s="511"/>
      <c r="J2" s="512"/>
      <c r="K2" s="512"/>
      <c r="L2" s="513"/>
      <c r="M2" s="513"/>
      <c r="N2" s="512"/>
      <c r="O2" s="512"/>
      <c r="P2" s="514"/>
      <c r="Q2" s="514"/>
      <c r="R2" s="748"/>
      <c r="S2" s="748"/>
      <c r="T2" s="748"/>
      <c r="U2" s="748"/>
      <c r="V2" s="420"/>
      <c r="W2" s="586"/>
      <c r="X2" s="586"/>
      <c r="Y2" s="420"/>
      <c r="Z2" s="420"/>
      <c r="AA2" s="586"/>
      <c r="AB2" s="596"/>
      <c r="AC2" s="508"/>
      <c r="AD2" s="512"/>
      <c r="AE2" s="420"/>
      <c r="AF2" s="586"/>
      <c r="AG2" s="586"/>
      <c r="AH2" s="420"/>
      <c r="AI2" s="420"/>
      <c r="AJ2" s="508"/>
      <c r="AK2" s="508"/>
      <c r="AL2" s="508"/>
      <c r="AM2" s="597"/>
      <c r="AN2" s="597"/>
    </row>
    <row r="3" spans="1:40" ht="26.25" customHeight="1" thickBot="1">
      <c r="A3" s="584" t="s">
        <v>43</v>
      </c>
      <c r="B3" s="516"/>
      <c r="C3" s="515"/>
      <c r="D3" s="516"/>
      <c r="E3" s="516"/>
      <c r="F3" s="516"/>
      <c r="G3" s="517"/>
      <c r="H3" s="668"/>
      <c r="I3" s="518"/>
      <c r="J3" s="519"/>
      <c r="K3" s="519"/>
      <c r="L3" s="520"/>
      <c r="M3" s="520"/>
      <c r="N3" s="519"/>
      <c r="O3" s="519"/>
      <c r="P3" s="518"/>
      <c r="Q3" s="518"/>
      <c r="R3" s="519"/>
      <c r="S3" s="519"/>
      <c r="T3" s="519"/>
      <c r="U3" s="519"/>
      <c r="V3" s="422" t="s">
        <v>189</v>
      </c>
      <c r="W3" s="423" t="s">
        <v>190</v>
      </c>
      <c r="X3" s="603">
        <v>0.03</v>
      </c>
      <c r="Y3" s="424"/>
      <c r="Z3" s="421"/>
      <c r="AA3" s="421"/>
      <c r="AB3" s="601">
        <v>0.05</v>
      </c>
      <c r="AC3" s="601">
        <v>0.1</v>
      </c>
      <c r="AD3" s="519"/>
      <c r="AE3" s="422" t="s">
        <v>189</v>
      </c>
      <c r="AF3" s="423" t="s">
        <v>190</v>
      </c>
      <c r="AG3" s="603">
        <v>0.03</v>
      </c>
      <c r="AH3" s="421"/>
      <c r="AI3" s="627">
        <v>0.25</v>
      </c>
      <c r="AJ3" s="598"/>
      <c r="AK3" s="599"/>
      <c r="AL3" s="599"/>
      <c r="AM3" s="600"/>
      <c r="AN3" s="602"/>
    </row>
    <row r="4" spans="1:40" ht="26.4" customHeight="1">
      <c r="A4" s="524"/>
      <c r="B4" s="516"/>
      <c r="C4" s="524"/>
      <c r="D4" s="516"/>
      <c r="E4" s="516"/>
      <c r="F4" s="516"/>
      <c r="G4" s="517"/>
      <c r="H4" s="668"/>
      <c r="I4" s="518"/>
      <c r="J4" s="519"/>
      <c r="K4" s="519"/>
      <c r="L4" s="517"/>
      <c r="M4" s="517"/>
      <c r="N4" s="519"/>
      <c r="O4" s="519"/>
      <c r="P4" s="518"/>
      <c r="Q4" s="815" t="s">
        <v>222</v>
      </c>
      <c r="R4" s="816"/>
      <c r="S4" s="816"/>
      <c r="T4" s="816"/>
      <c r="U4" s="817"/>
      <c r="V4" s="821" t="s">
        <v>225</v>
      </c>
      <c r="W4" s="821"/>
      <c r="X4" s="821"/>
      <c r="Y4" s="821"/>
      <c r="Z4" s="821"/>
      <c r="AA4" s="821"/>
      <c r="AB4" s="821"/>
      <c r="AC4" s="821"/>
      <c r="AD4" s="822"/>
      <c r="AE4" s="823" t="s">
        <v>226</v>
      </c>
      <c r="AF4" s="824"/>
      <c r="AG4" s="824"/>
      <c r="AH4" s="824"/>
      <c r="AI4" s="825"/>
      <c r="AJ4" s="598"/>
      <c r="AK4" s="599"/>
      <c r="AL4" s="599"/>
      <c r="AM4" s="600"/>
      <c r="AN4" s="602"/>
    </row>
    <row r="5" spans="1:40" ht="24.6" customHeight="1" thickBot="1">
      <c r="A5" s="525" t="s">
        <v>189</v>
      </c>
      <c r="B5" s="525" t="s">
        <v>189</v>
      </c>
      <c r="C5" s="525" t="s">
        <v>189</v>
      </c>
      <c r="D5" s="525" t="s">
        <v>189</v>
      </c>
      <c r="E5" s="525" t="s">
        <v>189</v>
      </c>
      <c r="F5" s="525" t="s">
        <v>190</v>
      </c>
      <c r="G5" s="525" t="s">
        <v>189</v>
      </c>
      <c r="H5" s="668"/>
      <c r="I5" s="525" t="s">
        <v>189</v>
      </c>
      <c r="J5" s="525" t="s">
        <v>189</v>
      </c>
      <c r="K5" s="525"/>
      <c r="L5" s="526" t="s">
        <v>190</v>
      </c>
      <c r="M5" s="527">
        <v>0.03</v>
      </c>
      <c r="N5" s="519"/>
      <c r="O5" s="519"/>
      <c r="P5" s="518">
        <v>12</v>
      </c>
      <c r="Q5" s="818"/>
      <c r="R5" s="819"/>
      <c r="S5" s="819"/>
      <c r="T5" s="819"/>
      <c r="U5" s="820"/>
      <c r="V5" s="812" t="s">
        <v>227</v>
      </c>
      <c r="W5" s="812"/>
      <c r="X5" s="812"/>
      <c r="Y5" s="812"/>
      <c r="Z5" s="812"/>
      <c r="AA5" s="812"/>
      <c r="AB5" s="812"/>
      <c r="AC5" s="812"/>
      <c r="AD5" s="813"/>
      <c r="AE5" s="809" t="s">
        <v>145</v>
      </c>
      <c r="AF5" s="810"/>
      <c r="AG5" s="810"/>
      <c r="AH5" s="810"/>
      <c r="AI5" s="811"/>
      <c r="AJ5" s="598"/>
      <c r="AK5" s="599"/>
      <c r="AL5" s="599"/>
      <c r="AM5" s="600"/>
      <c r="AN5" s="602"/>
    </row>
    <row r="6" spans="1:40" s="533" customFormat="1" ht="98.4" customHeight="1" thickBot="1">
      <c r="A6" s="722" t="s">
        <v>0</v>
      </c>
      <c r="B6" s="723" t="s">
        <v>182</v>
      </c>
      <c r="C6" s="722" t="s">
        <v>39</v>
      </c>
      <c r="D6" s="724" t="s">
        <v>1</v>
      </c>
      <c r="E6" s="725" t="s">
        <v>6</v>
      </c>
      <c r="F6" s="726" t="s">
        <v>44</v>
      </c>
      <c r="G6" s="727" t="s">
        <v>171</v>
      </c>
      <c r="H6" s="728" t="s">
        <v>206</v>
      </c>
      <c r="I6" s="729" t="s">
        <v>36</v>
      </c>
      <c r="J6" s="721" t="s">
        <v>184</v>
      </c>
      <c r="K6" s="721" t="s">
        <v>221</v>
      </c>
      <c r="L6" s="589" t="s">
        <v>193</v>
      </c>
      <c r="M6" s="589" t="s">
        <v>188</v>
      </c>
      <c r="N6" s="730" t="s">
        <v>140</v>
      </c>
      <c r="O6" s="528" t="s">
        <v>195</v>
      </c>
      <c r="P6" s="731" t="s">
        <v>183</v>
      </c>
      <c r="Q6" s="734" t="s">
        <v>285</v>
      </c>
      <c r="R6" s="749" t="s">
        <v>210</v>
      </c>
      <c r="S6" s="750" t="s">
        <v>211</v>
      </c>
      <c r="T6" s="749" t="s">
        <v>212</v>
      </c>
      <c r="U6" s="751" t="s">
        <v>213</v>
      </c>
      <c r="V6" s="624" t="s">
        <v>194</v>
      </c>
      <c r="W6" s="592" t="s">
        <v>192</v>
      </c>
      <c r="X6" s="592" t="s">
        <v>191</v>
      </c>
      <c r="Y6" s="624" t="s">
        <v>134</v>
      </c>
      <c r="Z6" s="625" t="s">
        <v>135</v>
      </c>
      <c r="AA6" s="625" t="s">
        <v>136</v>
      </c>
      <c r="AB6" s="529" t="s">
        <v>137</v>
      </c>
      <c r="AC6" s="529" t="s">
        <v>138</v>
      </c>
      <c r="AD6" s="417" t="s">
        <v>196</v>
      </c>
      <c r="AE6" s="626" t="s">
        <v>145</v>
      </c>
      <c r="AF6" s="592" t="s">
        <v>199</v>
      </c>
      <c r="AG6" s="592" t="s">
        <v>200</v>
      </c>
      <c r="AH6" s="624" t="s">
        <v>139</v>
      </c>
      <c r="AI6" s="418" t="s">
        <v>197</v>
      </c>
      <c r="AJ6" s="530" t="s">
        <v>106</v>
      </c>
      <c r="AK6" s="531" t="s">
        <v>38</v>
      </c>
      <c r="AL6" s="532" t="s">
        <v>42</v>
      </c>
      <c r="AM6" s="532" t="s">
        <v>7</v>
      </c>
      <c r="AN6" s="681" t="s">
        <v>209</v>
      </c>
    </row>
    <row r="7" spans="1:40" s="567" customFormat="1" ht="27" customHeight="1">
      <c r="A7" s="616">
        <v>1</v>
      </c>
      <c r="B7" s="732">
        <v>45566</v>
      </c>
      <c r="C7" s="617">
        <v>120000069056</v>
      </c>
      <c r="D7" s="739" t="s">
        <v>219</v>
      </c>
      <c r="E7" s="618" t="s">
        <v>75</v>
      </c>
      <c r="F7" s="618" t="s">
        <v>45</v>
      </c>
      <c r="G7" s="619">
        <v>60</v>
      </c>
      <c r="H7" s="733">
        <v>6.6000000000000003E-2</v>
      </c>
      <c r="I7" s="622">
        <v>45658</v>
      </c>
      <c r="J7" s="620">
        <v>7500</v>
      </c>
      <c r="K7" s="620">
        <v>0</v>
      </c>
      <c r="L7" s="590" t="s">
        <v>186</v>
      </c>
      <c r="M7" s="591">
        <f>IF(Table1351452010[[#This Row],[หัก ณ ที่จ่าย
(ค่าบริการ)]]="มี",Table1351452010[[#This Row],[ค่าบริการเฉลี่ยต่อเดือน]]*3%,0)</f>
        <v>225</v>
      </c>
      <c r="N7" s="534">
        <f>Table1351452010[[#This Row],[ค่าบริการเฉลี่ยต่อเดือน]]-Table1351452010[[#This Row],[มูลค่าหัก 3%]]</f>
        <v>7275</v>
      </c>
      <c r="O7" s="535">
        <f>(Table1351452010[[#This Row],[ค่าบริการเฉลียรายเดือนตาม Package
(เรียกเก็บสุทธิ)]]*Table1351452010[[#This Row],[% ค่าคอมค่าบริการ
(อัตราก้าวหน้า)]])*Table1351452010[[#This Row],[ระยะเวลาสัญญา
(เดือน)]]</f>
        <v>28809.000000000004</v>
      </c>
      <c r="P7" s="735">
        <f>Table1351452010[[#This Row],[ระยะเวลาสัญญา
(เดือน)]]/$P$5</f>
        <v>5</v>
      </c>
      <c r="Q7" s="737">
        <f>Table1351452010[[#This Row],[Total
รายการเบิก
คอมขาย
(1)]]/Table1351452010[[#This Row],[แบ่งจ่าย/งวด
(ตามปีสัญญา)]]</f>
        <v>5761.8000000000011</v>
      </c>
      <c r="R7" s="752">
        <v>5761.8</v>
      </c>
      <c r="S7" s="752">
        <v>5761.8</v>
      </c>
      <c r="T7" s="752">
        <v>5761.8</v>
      </c>
      <c r="U7" s="752">
        <v>5761.8</v>
      </c>
      <c r="V7" s="621">
        <v>0</v>
      </c>
      <c r="W7" s="593"/>
      <c r="X7" s="594">
        <f>IF(Table1351452010[[#This Row],[หัก ณ ที่จ่าย
(ค่าติตั้ง)]]="มี",Table1351452010[[#This Row],[ค่าเชื่อมสัญญาณ/
ค่าติดตั้ง/
ค่าขายอุปกรณ์]]*$X$3,0)</f>
        <v>0</v>
      </c>
      <c r="Y7" s="396">
        <f>Table1351452010[[#This Row],[ค่าเชื่อมสัญญาณ/
ค่าติดตั้ง/
ค่าขายอุปกรณ์]]-Table1351452010[[#This Row],[มูลค่าหัก 3%
(ค่าติดตั้ง)]]</f>
        <v>0</v>
      </c>
      <c r="Z7" s="331"/>
      <c r="AA7" s="664">
        <f>Table1351452010[[#This Row],[ค่าเชื่อมสัญญาณ/
ค่าติดตั้ง/
ค่าขายอุปกรณ์
(เรียกเก็บสุทธิ)]]-Table1351452010[[#This Row],[ต้นทุน]]</f>
        <v>0</v>
      </c>
      <c r="AB7" s="536" t="str">
        <f>IF(Table1351452010[[#This Row],[ส่วนต่างกำไร]]&lt;(Table1351452010[[#This Row],[ต้นทุน]]*5%),Table1351452010[[#This Row],[ค่าเชื่อมสัญญาณ/
ค่าติดตั้ง/
ค่าขายอุปกรณ์
(เรียกเก็บสุทธิ)]]*$AB$3,"0")</f>
        <v>0</v>
      </c>
      <c r="AC7" s="536">
        <f>IF(Table1351452010[[#This Row],[ส่วนต่างกำไร]]&gt;=(Table1351452010[[#This Row],[ต้นทุน]]*5%),Table1351452010[[#This Row],[ค่าเชื่อมสัญญาณ/
ค่าติดตั้ง/
ค่าขายอุปกรณ์
(เรียกเก็บสุทธิ)]]*$AC$3,"0")</f>
        <v>0</v>
      </c>
      <c r="AD7" s="611">
        <f>SUM(Table1351452010[[#This Row],[คอมฯ
 5%]:[คอมฯ
10%]])</f>
        <v>0</v>
      </c>
      <c r="AE7" s="623">
        <v>0</v>
      </c>
      <c r="AF7" s="593"/>
      <c r="AG7" s="615">
        <f>IF(Table1351452010[[#This Row],[หัก ณ ที่จ่าย
(ค่าเชื่อมสัญญาณ)]]="มี",Table1351452010[[#This Row],[ค่าเชื่อมสัญญาณ]]*$AG$3,0)</f>
        <v>0</v>
      </c>
      <c r="AH7" s="397">
        <f>Table1351452010[[#This Row],[ค่าเชื่อมสัญญาณ]]-Table1351452010[[#This Row],[มูลค่าหัก 3%
(ค่าเชื่อมสัญญาณ)]]</f>
        <v>0</v>
      </c>
      <c r="AI7" s="402">
        <f>Table1351452010[[#This Row],[ค่าเชื่อมสัญญาณ
(เรียกเก็บสุทธิ)]]*$AI$3</f>
        <v>0</v>
      </c>
      <c r="AJ7" s="537">
        <f>Table1351452010[[#This Row],[ปีที่1
(ทำจ่ายรอบ 3/2025)]]+Table1351452010[[#This Row],[Total
ค่าเชื่มสัญญาณ/ค่าติดตั้ง/
ค่าขายอุปกรณ์
(2)]]+Table1351452010[[#This Row],[Total 
คอมฯค่าเชื่อมสัญญาณ
(3)]]</f>
        <v>5761.8000000000011</v>
      </c>
      <c r="AK7" s="538" t="s">
        <v>223</v>
      </c>
      <c r="AL7" s="538" t="s">
        <v>241</v>
      </c>
      <c r="AM7" s="539" t="s">
        <v>224</v>
      </c>
      <c r="AN7" s="507" t="s">
        <v>242</v>
      </c>
    </row>
    <row r="8" spans="1:40" s="567" customFormat="1" ht="27" customHeight="1">
      <c r="A8" s="720" t="s">
        <v>216</v>
      </c>
      <c r="B8" s="677"/>
      <c r="C8" s="541"/>
      <c r="D8" s="740" t="s">
        <v>220</v>
      </c>
      <c r="E8" s="542"/>
      <c r="F8" s="542"/>
      <c r="G8" s="568"/>
      <c r="H8" s="669"/>
      <c r="I8" s="544"/>
      <c r="J8" s="542"/>
      <c r="K8" s="542"/>
      <c r="L8" s="545"/>
      <c r="M8" s="545"/>
      <c r="N8" s="546"/>
      <c r="O8" s="547"/>
      <c r="P8" s="548"/>
      <c r="Q8" s="682"/>
      <c r="R8" s="765" t="s">
        <v>240</v>
      </c>
      <c r="S8" s="765" t="s">
        <v>284</v>
      </c>
      <c r="T8" s="765" t="s">
        <v>291</v>
      </c>
      <c r="U8" s="765" t="s">
        <v>292</v>
      </c>
      <c r="V8" s="391"/>
      <c r="W8" s="409"/>
      <c r="X8" s="411"/>
      <c r="Y8" s="389"/>
      <c r="Z8" s="392"/>
      <c r="AA8" s="665" t="e">
        <f t="shared" ref="AA8" si="0">AA7/Z7</f>
        <v>#DIV/0!</v>
      </c>
      <c r="AB8" s="587"/>
      <c r="AC8" s="587"/>
      <c r="AD8" s="612"/>
      <c r="AE8" s="406"/>
      <c r="AF8" s="409"/>
      <c r="AG8" s="409"/>
      <c r="AH8" s="393"/>
      <c r="AI8" s="403"/>
      <c r="AJ8" s="549"/>
      <c r="AK8" s="550"/>
      <c r="AL8" s="550"/>
      <c r="AM8" s="551"/>
      <c r="AN8" s="507"/>
    </row>
    <row r="9" spans="1:40" s="567" customFormat="1" ht="27" customHeight="1">
      <c r="A9" s="540">
        <v>9.4000000000000092</v>
      </c>
      <c r="B9" s="543"/>
      <c r="C9" s="540"/>
      <c r="D9" s="741"/>
      <c r="E9" s="552"/>
      <c r="F9" s="552"/>
      <c r="G9" s="568"/>
      <c r="H9" s="669"/>
      <c r="I9" s="544"/>
      <c r="J9" s="542"/>
      <c r="K9" s="542"/>
      <c r="L9" s="545"/>
      <c r="M9" s="545"/>
      <c r="N9" s="542"/>
      <c r="O9" s="553"/>
      <c r="P9" s="554"/>
      <c r="Q9" s="683"/>
      <c r="R9" s="756"/>
      <c r="S9" s="757"/>
      <c r="T9" s="757"/>
      <c r="U9" s="758"/>
      <c r="V9" s="391"/>
      <c r="W9" s="409"/>
      <c r="X9" s="411"/>
      <c r="Y9" s="389"/>
      <c r="Z9" s="392"/>
      <c r="AA9" s="392"/>
      <c r="AB9" s="587"/>
      <c r="AC9" s="587"/>
      <c r="AD9" s="613"/>
      <c r="AE9" s="407"/>
      <c r="AF9" s="409"/>
      <c r="AG9" s="409"/>
      <c r="AH9" s="393"/>
      <c r="AI9" s="403"/>
      <c r="AJ9" s="549"/>
      <c r="AK9" s="550"/>
      <c r="AL9" s="550"/>
      <c r="AM9" s="551"/>
      <c r="AN9" s="507"/>
    </row>
    <row r="10" spans="1:40" s="567" customFormat="1" ht="27" customHeight="1" thickBot="1">
      <c r="A10" s="555">
        <v>10.6071428571429</v>
      </c>
      <c r="B10" s="557"/>
      <c r="C10" s="555"/>
      <c r="D10" s="742"/>
      <c r="E10" s="556"/>
      <c r="F10" s="556"/>
      <c r="G10" s="558"/>
      <c r="H10" s="670"/>
      <c r="I10" s="559"/>
      <c r="J10" s="560"/>
      <c r="K10" s="560"/>
      <c r="L10" s="561"/>
      <c r="M10" s="561"/>
      <c r="N10" s="560"/>
      <c r="O10" s="562"/>
      <c r="P10" s="563"/>
      <c r="Q10" s="684"/>
      <c r="R10" s="759"/>
      <c r="S10" s="760"/>
      <c r="T10" s="760"/>
      <c r="U10" s="761"/>
      <c r="V10" s="394"/>
      <c r="W10" s="410"/>
      <c r="X10" s="412"/>
      <c r="Y10" s="390"/>
      <c r="Z10" s="388"/>
      <c r="AA10" s="666"/>
      <c r="AB10" s="588"/>
      <c r="AC10" s="588"/>
      <c r="AD10" s="614"/>
      <c r="AE10" s="408"/>
      <c r="AF10" s="410"/>
      <c r="AG10" s="410"/>
      <c r="AH10" s="395"/>
      <c r="AI10" s="404"/>
      <c r="AJ10" s="564"/>
      <c r="AK10" s="565"/>
      <c r="AL10" s="565"/>
      <c r="AM10" s="566"/>
      <c r="AN10" s="680"/>
    </row>
    <row r="11" spans="1:40" s="567" customFormat="1" ht="27" customHeight="1">
      <c r="A11" s="616">
        <v>2</v>
      </c>
      <c r="B11" s="732">
        <v>45566</v>
      </c>
      <c r="C11" s="617">
        <v>120000069021</v>
      </c>
      <c r="D11" s="739" t="s">
        <v>238</v>
      </c>
      <c r="E11" s="618" t="s">
        <v>75</v>
      </c>
      <c r="F11" s="618" t="s">
        <v>45</v>
      </c>
      <c r="G11" s="619">
        <v>36</v>
      </c>
      <c r="H11" s="733">
        <v>6.6000000000000003E-2</v>
      </c>
      <c r="I11" s="622">
        <v>45658</v>
      </c>
      <c r="J11" s="620">
        <v>25000</v>
      </c>
      <c r="K11" s="620">
        <v>0</v>
      </c>
      <c r="L11" s="590" t="s">
        <v>186</v>
      </c>
      <c r="M11" s="591">
        <f>IF(Table1351452010[[#This Row],[หัก ณ ที่จ่าย
(ค่าบริการ)]]="มี",Table1351452010[[#This Row],[ค่าบริการเฉลี่ยต่อเดือน]]*3%,0)</f>
        <v>750</v>
      </c>
      <c r="N11" s="534">
        <f>Table1351452010[[#This Row],[ค่าบริการเฉลี่ยต่อเดือน]]-Table1351452010[[#This Row],[มูลค่าหัก 3%]]</f>
        <v>24250</v>
      </c>
      <c r="O11" s="535">
        <f>(Table1351452010[[#This Row],[ค่าบริการเฉลียรายเดือนตาม Package
(เรียกเก็บสุทธิ)]]*Table1351452010[[#This Row],[% ค่าคอมค่าบริการ
(อัตราก้าวหน้า)]])*Table1351452010[[#This Row],[ระยะเวลาสัญญา
(เดือน)]]</f>
        <v>57618</v>
      </c>
      <c r="P11" s="735">
        <f>Table1351452010[[#This Row],[ระยะเวลาสัญญา
(เดือน)]]/$P$5</f>
        <v>3</v>
      </c>
      <c r="Q11" s="737">
        <f>Table1351452010[[#This Row],[Total
รายการเบิก
คอมขาย
(1)]]/Table1351452010[[#This Row],[แบ่งจ่าย/งวด
(ตามปีสัญญา)]]</f>
        <v>19206</v>
      </c>
      <c r="R11" s="752">
        <v>19206</v>
      </c>
      <c r="S11" s="752">
        <v>19206</v>
      </c>
      <c r="T11" s="738"/>
      <c r="U11" s="762"/>
      <c r="V11" s="621">
        <v>15000</v>
      </c>
      <c r="W11" s="593" t="s">
        <v>186</v>
      </c>
      <c r="X11" s="594">
        <f>IF(Table1351452010[[#This Row],[หัก ณ ที่จ่าย
(ค่าติตั้ง)]]="มี",Table1351452010[[#This Row],[ค่าเชื่อมสัญญาณ/
ค่าติดตั้ง/
ค่าขายอุปกรณ์]]*$X$3,0)</f>
        <v>450</v>
      </c>
      <c r="Y11" s="396">
        <f>Table1351452010[[#This Row],[ค่าเชื่อมสัญญาณ/
ค่าติดตั้ง/
ค่าขายอุปกรณ์]]-Table1351452010[[#This Row],[มูลค่าหัก 3%
(ค่าติดตั้ง)]]</f>
        <v>14550</v>
      </c>
      <c r="Z11" s="331">
        <f>56726.75+9800</f>
        <v>66526.75</v>
      </c>
      <c r="AA11" s="664">
        <f>Table1351452010[[#This Row],[ค่าเชื่อมสัญญาณ/
ค่าติดตั้ง/
ค่าขายอุปกรณ์
(เรียกเก็บสุทธิ)]]-Table1351452010[[#This Row],[ต้นทุน]]</f>
        <v>-51976.75</v>
      </c>
      <c r="AB11" s="536">
        <f>IF(Table1351452010[[#This Row],[ส่วนต่างกำไร]]&lt;(Table1351452010[[#This Row],[ต้นทุน]]*5%),Table1351452010[[#This Row],[ค่าเชื่อมสัญญาณ/
ค่าติดตั้ง/
ค่าขายอุปกรณ์
(เรียกเก็บสุทธิ)]]*$AB$3,"0")</f>
        <v>727.5</v>
      </c>
      <c r="AC11" s="536" t="str">
        <f>IF(Table1351452010[[#This Row],[ส่วนต่างกำไร]]&gt;=(Table1351452010[[#This Row],[ต้นทุน]]*5%),Table1351452010[[#This Row],[ค่าเชื่อมสัญญาณ/
ค่าติดตั้ง/
ค่าขายอุปกรณ์
(เรียกเก็บสุทธิ)]]*$AC$3,"0")</f>
        <v>0</v>
      </c>
      <c r="AD11" s="611">
        <f>SUM(Table1351452010[[#This Row],[คอมฯ
 5%]:[คอมฯ
10%]])</f>
        <v>727.5</v>
      </c>
      <c r="AE11" s="623">
        <v>0</v>
      </c>
      <c r="AF11" s="593"/>
      <c r="AG11" s="615">
        <f>IF(Table1351452010[[#This Row],[หัก ณ ที่จ่าย
(ค่าเชื่อมสัญญาณ)]]="มี",Table1351452010[[#This Row],[ค่าเชื่อมสัญญาณ]]*$AG$3,0)</f>
        <v>0</v>
      </c>
      <c r="AH11" s="397">
        <f>Table1351452010[[#This Row],[ค่าเชื่อมสัญญาณ]]-Table1351452010[[#This Row],[มูลค่าหัก 3%
(ค่าเชื่อมสัญญาณ)]]</f>
        <v>0</v>
      </c>
      <c r="AI11" s="402">
        <f>Table1351452010[[#This Row],[ค่าเชื่อมสัญญาณ
(เรียกเก็บสุทธิ)]]*$AI$4</f>
        <v>0</v>
      </c>
      <c r="AJ11" s="537">
        <f>Table1351452010[[#This Row],[ปีที่1
(ทำจ่ายรอบ 3/2025)]]+Table1351452010[[#This Row],[Total
ค่าเชื่มสัญญาณ/ค่าติดตั้ง/
ค่าขายอุปกรณ์
(2)]]+Table1351452010[[#This Row],[Total 
คอมฯค่าเชื่อมสัญญาณ
(3)]]</f>
        <v>19933.5</v>
      </c>
      <c r="AK11" s="538" t="s">
        <v>239</v>
      </c>
      <c r="AL11" s="538" t="s">
        <v>243</v>
      </c>
      <c r="AM11" s="539" t="s">
        <v>107</v>
      </c>
      <c r="AN11" s="507" t="s">
        <v>242</v>
      </c>
    </row>
    <row r="12" spans="1:40" s="567" customFormat="1" ht="27" customHeight="1">
      <c r="A12" s="720" t="s">
        <v>216</v>
      </c>
      <c r="B12" s="677"/>
      <c r="C12" s="541"/>
      <c r="D12" s="740" t="s">
        <v>254</v>
      </c>
      <c r="E12" s="542"/>
      <c r="F12" s="542"/>
      <c r="G12" s="568"/>
      <c r="H12" s="669"/>
      <c r="I12" s="544"/>
      <c r="J12" s="542"/>
      <c r="K12" s="542"/>
      <c r="L12" s="545"/>
      <c r="M12" s="545"/>
      <c r="N12" s="546"/>
      <c r="O12" s="547"/>
      <c r="P12" s="548"/>
      <c r="Q12" s="682"/>
      <c r="R12" s="765" t="s">
        <v>240</v>
      </c>
      <c r="S12" s="765" t="s">
        <v>284</v>
      </c>
      <c r="T12" s="754"/>
      <c r="U12" s="755"/>
      <c r="V12" s="391"/>
      <c r="W12" s="409"/>
      <c r="X12" s="411"/>
      <c r="Y12" s="389"/>
      <c r="Z12" s="392"/>
      <c r="AA12" s="665">
        <f t="shared" ref="AA12" si="1">AA11/Z11</f>
        <v>-0.78129098445362199</v>
      </c>
      <c r="AB12" s="587"/>
      <c r="AC12" s="587"/>
      <c r="AD12" s="612"/>
      <c r="AE12" s="406"/>
      <c r="AF12" s="409"/>
      <c r="AG12" s="409"/>
      <c r="AH12" s="393"/>
      <c r="AI12" s="403"/>
      <c r="AJ12" s="549"/>
      <c r="AK12" s="550" t="s">
        <v>246</v>
      </c>
      <c r="AL12" s="550" t="s">
        <v>247</v>
      </c>
      <c r="AM12" s="551"/>
      <c r="AN12" s="507" t="s">
        <v>242</v>
      </c>
    </row>
    <row r="13" spans="1:40" s="567" customFormat="1" ht="32.4" customHeight="1">
      <c r="A13" s="540"/>
      <c r="B13" s="543"/>
      <c r="C13" s="540"/>
      <c r="D13" s="743"/>
      <c r="E13" s="552"/>
      <c r="F13" s="552"/>
      <c r="G13" s="568"/>
      <c r="H13" s="669"/>
      <c r="I13" s="544"/>
      <c r="J13" s="542"/>
      <c r="K13" s="542"/>
      <c r="L13" s="545"/>
      <c r="M13" s="545"/>
      <c r="N13" s="542"/>
      <c r="O13" s="553"/>
      <c r="P13" s="554"/>
      <c r="Q13" s="683"/>
      <c r="R13" s="756"/>
      <c r="S13" s="757"/>
      <c r="T13" s="757"/>
      <c r="U13" s="758"/>
      <c r="V13" s="391"/>
      <c r="W13" s="409"/>
      <c r="X13" s="411"/>
      <c r="Y13" s="389"/>
      <c r="Z13" s="392"/>
      <c r="AA13" s="392"/>
      <c r="AB13" s="587"/>
      <c r="AC13" s="587"/>
      <c r="AD13" s="613"/>
      <c r="AE13" s="407"/>
      <c r="AF13" s="409"/>
      <c r="AG13" s="409"/>
      <c r="AH13" s="393"/>
      <c r="AI13" s="403"/>
      <c r="AJ13" s="549"/>
      <c r="AK13" s="550"/>
      <c r="AL13" s="550"/>
      <c r="AM13" s="551"/>
      <c r="AN13" s="507"/>
    </row>
    <row r="14" spans="1:40" s="567" customFormat="1" ht="27" customHeight="1" thickBot="1">
      <c r="A14" s="555"/>
      <c r="B14" s="557"/>
      <c r="C14" s="555"/>
      <c r="D14" s="742"/>
      <c r="E14" s="556"/>
      <c r="F14" s="556"/>
      <c r="G14" s="558"/>
      <c r="H14" s="670"/>
      <c r="I14" s="559"/>
      <c r="J14" s="560"/>
      <c r="K14" s="560"/>
      <c r="L14" s="561"/>
      <c r="M14" s="561"/>
      <c r="N14" s="560"/>
      <c r="O14" s="562"/>
      <c r="P14" s="563"/>
      <c r="Q14" s="684"/>
      <c r="R14" s="759"/>
      <c r="S14" s="760"/>
      <c r="T14" s="760"/>
      <c r="U14" s="761"/>
      <c r="V14" s="394"/>
      <c r="W14" s="410"/>
      <c r="X14" s="412"/>
      <c r="Y14" s="390"/>
      <c r="Z14" s="388"/>
      <c r="AA14" s="666"/>
      <c r="AB14" s="588"/>
      <c r="AC14" s="588"/>
      <c r="AD14" s="614"/>
      <c r="AE14" s="408"/>
      <c r="AF14" s="410"/>
      <c r="AG14" s="410"/>
      <c r="AH14" s="395"/>
      <c r="AI14" s="404"/>
      <c r="AJ14" s="564"/>
      <c r="AK14" s="565"/>
      <c r="AL14" s="565"/>
      <c r="AM14" s="566"/>
      <c r="AN14" s="680"/>
    </row>
    <row r="15" spans="1:40" s="567" customFormat="1" ht="27" customHeight="1">
      <c r="A15" s="616">
        <v>3</v>
      </c>
      <c r="B15" s="732">
        <v>45566</v>
      </c>
      <c r="C15" s="617">
        <v>120000069053</v>
      </c>
      <c r="D15" s="739" t="s">
        <v>248</v>
      </c>
      <c r="E15" s="618" t="s">
        <v>75</v>
      </c>
      <c r="F15" s="618" t="s">
        <v>45</v>
      </c>
      <c r="G15" s="619">
        <v>24</v>
      </c>
      <c r="H15" s="733">
        <v>6.6000000000000003E-2</v>
      </c>
      <c r="I15" s="622">
        <v>45689</v>
      </c>
      <c r="J15" s="620">
        <v>50000</v>
      </c>
      <c r="K15" s="620">
        <v>0</v>
      </c>
      <c r="L15" s="590" t="s">
        <v>186</v>
      </c>
      <c r="M15" s="591">
        <f>IF(Table1351452010[[#This Row],[หัก ณ ที่จ่าย
(ค่าบริการ)]]="มี",Table1351452010[[#This Row],[ค่าบริการเฉลี่ยต่อเดือน]]*3%,0)</f>
        <v>1500</v>
      </c>
      <c r="N15" s="534">
        <f>Table1351452010[[#This Row],[ค่าบริการเฉลี่ยต่อเดือน]]-Table1351452010[[#This Row],[มูลค่าหัก 3%]]</f>
        <v>48500</v>
      </c>
      <c r="O15" s="535">
        <f>(Table1351452010[[#This Row],[ค่าบริการเฉลียรายเดือนตาม Package
(เรียกเก็บสุทธิ)]]*Table1351452010[[#This Row],[% ค่าคอมค่าบริการ
(อัตราก้าวหน้า)]])*Table1351452010[[#This Row],[ระยะเวลาสัญญา
(เดือน)]]</f>
        <v>76824</v>
      </c>
      <c r="P15" s="735">
        <f>Table1351452010[[#This Row],[ระยะเวลาสัญญา
(เดือน)]]/$P$5</f>
        <v>2</v>
      </c>
      <c r="Q15" s="737">
        <f>Table1351452010[[#This Row],[Total
รายการเบิก
คอมขาย
(1)]]/Table1351452010[[#This Row],[แบ่งจ่าย/งวด
(ตามปีสัญญา)]]</f>
        <v>38412</v>
      </c>
      <c r="R15" s="752">
        <v>38412</v>
      </c>
      <c r="S15" s="738"/>
      <c r="T15" s="738"/>
      <c r="U15" s="762"/>
      <c r="V15" s="621">
        <v>70000</v>
      </c>
      <c r="W15" s="593" t="s">
        <v>186</v>
      </c>
      <c r="X15" s="594">
        <f>IF(Table1351452010[[#This Row],[หัก ณ ที่จ่าย
(ค่าติตั้ง)]]="มี",Table1351452010[[#This Row],[ค่าเชื่อมสัญญาณ/
ค่าติดตั้ง/
ค่าขายอุปกรณ์]]*$X$3,0)</f>
        <v>2100</v>
      </c>
      <c r="Y15" s="396">
        <f>Table1351452010[[#This Row],[ค่าเชื่อมสัญญาณ/
ค่าติดตั้ง/
ค่าขายอุปกรณ์]]-Table1351452010[[#This Row],[มูลค่าหัก 3%
(ค่าติดตั้ง)]]</f>
        <v>67900</v>
      </c>
      <c r="Z15" s="331">
        <v>638274</v>
      </c>
      <c r="AA15" s="664">
        <f>Table1351452010[[#This Row],[ค่าเชื่อมสัญญาณ/
ค่าติดตั้ง/
ค่าขายอุปกรณ์
(เรียกเก็บสุทธิ)]]-Table1351452010[[#This Row],[ต้นทุน]]</f>
        <v>-570374</v>
      </c>
      <c r="AB15" s="536">
        <f>IF(Table1351452010[[#This Row],[ส่วนต่างกำไร]]&lt;(Table1351452010[[#This Row],[ต้นทุน]]*5%),Table1351452010[[#This Row],[ค่าเชื่อมสัญญาณ/
ค่าติดตั้ง/
ค่าขายอุปกรณ์
(เรียกเก็บสุทธิ)]]*$AB$3,"0")</f>
        <v>3395</v>
      </c>
      <c r="AC15" s="536" t="str">
        <f>IF(Table1351452010[[#This Row],[ส่วนต่างกำไร]]&gt;=(Table1351452010[[#This Row],[ต้นทุน]]*5%),Table1351452010[[#This Row],[ค่าเชื่อมสัญญาณ/
ค่าติดตั้ง/
ค่าขายอุปกรณ์
(เรียกเก็บสุทธิ)]]*$AC$3,"0")</f>
        <v>0</v>
      </c>
      <c r="AD15" s="611">
        <f>SUM(Table1351452010[[#This Row],[คอมฯ
 5%]:[คอมฯ
10%]])</f>
        <v>3395</v>
      </c>
      <c r="AE15" s="623">
        <v>0</v>
      </c>
      <c r="AF15" s="593"/>
      <c r="AG15" s="615">
        <f>IF(Table1351452010[[#This Row],[หัก ณ ที่จ่าย
(ค่าเชื่อมสัญญาณ)]]="มี",Table1351452010[[#This Row],[ค่าเชื่อมสัญญาณ]]*$AG$3,0)</f>
        <v>0</v>
      </c>
      <c r="AH15" s="397">
        <f>Table1351452010[[#This Row],[ค่าเชื่อมสัญญาณ]]-Table1351452010[[#This Row],[มูลค่าหัก 3%
(ค่าเชื่อมสัญญาณ)]]</f>
        <v>0</v>
      </c>
      <c r="AI15" s="402">
        <f>Table1351452010[[#This Row],[ค่าเชื่อมสัญญาณ
(เรียกเก็บสุทธิ)]]*$AI$4</f>
        <v>0</v>
      </c>
      <c r="AJ15" s="537">
        <f>Table1351452010[[#This Row],[ปีที่1
(ทำจ่ายรอบ 3/2025)]]+Table1351452010[[#This Row],[Total
ค่าเชื่มสัญญาณ/ค่าติดตั้ง/
ค่าขายอุปกรณ์
(2)]]+Table1351452010[[#This Row],[Total 
คอมฯค่าเชื่อมสัญญาณ
(3)]]</f>
        <v>41807</v>
      </c>
      <c r="AK15" s="538" t="s">
        <v>250</v>
      </c>
      <c r="AL15" s="538" t="s">
        <v>264</v>
      </c>
      <c r="AM15" s="539" t="s">
        <v>224</v>
      </c>
      <c r="AN15" s="507" t="s">
        <v>242</v>
      </c>
    </row>
    <row r="16" spans="1:40" s="567" customFormat="1" ht="27" customHeight="1">
      <c r="A16" s="720" t="s">
        <v>216</v>
      </c>
      <c r="B16" s="543"/>
      <c r="C16" s="541"/>
      <c r="D16" s="740" t="s">
        <v>255</v>
      </c>
      <c r="E16" s="542"/>
      <c r="F16" s="542"/>
      <c r="G16" s="568"/>
      <c r="H16" s="669"/>
      <c r="I16" s="544"/>
      <c r="J16" s="542"/>
      <c r="K16" s="542"/>
      <c r="L16" s="545"/>
      <c r="M16" s="545"/>
      <c r="N16" s="546"/>
      <c r="O16" s="547"/>
      <c r="P16" s="548"/>
      <c r="Q16" s="682"/>
      <c r="R16" s="765" t="s">
        <v>249</v>
      </c>
      <c r="S16" s="754"/>
      <c r="T16" s="754"/>
      <c r="U16" s="755"/>
      <c r="V16" s="391"/>
      <c r="W16" s="409"/>
      <c r="X16" s="411"/>
      <c r="Y16" s="389"/>
      <c r="Z16" s="392"/>
      <c r="AA16" s="665">
        <f t="shared" ref="AA16" si="2">AA15/Z15</f>
        <v>-0.893619354697199</v>
      </c>
      <c r="AB16" s="587"/>
      <c r="AC16" s="587"/>
      <c r="AD16" s="612"/>
      <c r="AE16" s="406"/>
      <c r="AF16" s="409"/>
      <c r="AG16" s="409"/>
      <c r="AH16" s="393"/>
      <c r="AI16" s="403"/>
      <c r="AJ16" s="549"/>
      <c r="AK16" s="550" t="s">
        <v>251</v>
      </c>
      <c r="AL16" s="550"/>
      <c r="AM16" s="551"/>
      <c r="AN16" s="507"/>
    </row>
    <row r="17" spans="1:40" s="567" customFormat="1" ht="27" customHeight="1">
      <c r="A17" s="540"/>
      <c r="B17" s="543"/>
      <c r="C17" s="540"/>
      <c r="D17" s="744"/>
      <c r="E17" s="552"/>
      <c r="F17" s="552"/>
      <c r="G17" s="568"/>
      <c r="H17" s="669"/>
      <c r="I17" s="544"/>
      <c r="J17" s="542"/>
      <c r="K17" s="542"/>
      <c r="L17" s="545"/>
      <c r="M17" s="545"/>
      <c r="N17" s="542"/>
      <c r="O17" s="553"/>
      <c r="P17" s="554"/>
      <c r="Q17" s="683"/>
      <c r="R17" s="756"/>
      <c r="S17" s="757"/>
      <c r="T17" s="757"/>
      <c r="U17" s="758"/>
      <c r="V17" s="391"/>
      <c r="W17" s="409"/>
      <c r="X17" s="411"/>
      <c r="Y17" s="389"/>
      <c r="Z17" s="392"/>
      <c r="AA17" s="392"/>
      <c r="AB17" s="587"/>
      <c r="AC17" s="587"/>
      <c r="AD17" s="613"/>
      <c r="AE17" s="407"/>
      <c r="AF17" s="409"/>
      <c r="AG17" s="409"/>
      <c r="AH17" s="393"/>
      <c r="AI17" s="403"/>
      <c r="AJ17" s="549"/>
      <c r="AK17" s="550"/>
      <c r="AL17" s="550"/>
      <c r="AM17" s="551"/>
      <c r="AN17" s="507"/>
    </row>
    <row r="18" spans="1:40" s="567" customFormat="1" ht="27" customHeight="1" thickBot="1">
      <c r="A18" s="555"/>
      <c r="B18" s="557"/>
      <c r="C18" s="555"/>
      <c r="D18" s="745"/>
      <c r="E18" s="556"/>
      <c r="F18" s="556"/>
      <c r="G18" s="558"/>
      <c r="H18" s="670"/>
      <c r="I18" s="559"/>
      <c r="J18" s="560"/>
      <c r="K18" s="560"/>
      <c r="L18" s="561"/>
      <c r="M18" s="561"/>
      <c r="N18" s="560"/>
      <c r="O18" s="562"/>
      <c r="P18" s="563"/>
      <c r="Q18" s="684"/>
      <c r="R18" s="759"/>
      <c r="S18" s="760"/>
      <c r="T18" s="760"/>
      <c r="U18" s="761"/>
      <c r="V18" s="394"/>
      <c r="W18" s="410"/>
      <c r="X18" s="412"/>
      <c r="Y18" s="390"/>
      <c r="Z18" s="388"/>
      <c r="AA18" s="666"/>
      <c r="AB18" s="588"/>
      <c r="AC18" s="588"/>
      <c r="AD18" s="614"/>
      <c r="AE18" s="408"/>
      <c r="AF18" s="410"/>
      <c r="AG18" s="410"/>
      <c r="AH18" s="395"/>
      <c r="AI18" s="404"/>
      <c r="AJ18" s="564"/>
      <c r="AK18" s="565"/>
      <c r="AL18" s="565"/>
      <c r="AM18" s="566"/>
      <c r="AN18" s="680"/>
    </row>
    <row r="19" spans="1:40" s="567" customFormat="1" ht="27" customHeight="1">
      <c r="A19" s="616">
        <v>4</v>
      </c>
      <c r="B19" s="732">
        <v>45566</v>
      </c>
      <c r="C19" s="617">
        <v>120000069173</v>
      </c>
      <c r="D19" s="739" t="s">
        <v>268</v>
      </c>
      <c r="E19" s="618" t="s">
        <v>70</v>
      </c>
      <c r="F19" s="618" t="s">
        <v>45</v>
      </c>
      <c r="G19" s="619">
        <v>24</v>
      </c>
      <c r="H19" s="733">
        <v>6.6000000000000003E-2</v>
      </c>
      <c r="I19" s="622">
        <v>45689</v>
      </c>
      <c r="J19" s="620">
        <v>1500</v>
      </c>
      <c r="K19" s="620">
        <v>0</v>
      </c>
      <c r="L19" s="767" t="s">
        <v>186</v>
      </c>
      <c r="M19" s="768">
        <f>IF(Table1351452010[[#This Row],[หัก ณ ที่จ่าย
(ค่าบริการ)]]="มี",Table1351452010[[#This Row],[ค่าบริการเฉลี่ยต่อเดือน]]*3%,0)</f>
        <v>45</v>
      </c>
      <c r="N19" s="534">
        <f>Table1351452010[[#This Row],[ค่าบริการเฉลี่ยต่อเดือน]]-Table1351452010[[#This Row],[มูลค่าหัก 3%]]</f>
        <v>1455</v>
      </c>
      <c r="O19" s="535">
        <f>(Table1351452010[[#This Row],[ค่าบริการเฉลียรายเดือนตาม Package
(เรียกเก็บสุทธิ)]]*Table1351452010[[#This Row],[% ค่าคอมค่าบริการ
(อัตราก้าวหน้า)]])*Table1351452010[[#This Row],[ระยะเวลาสัญญา
(เดือน)]]</f>
        <v>2304.7200000000003</v>
      </c>
      <c r="P19" s="735">
        <f>Table1351452010[[#This Row],[ระยะเวลาสัญญา
(เดือน)]]/$P$5</f>
        <v>2</v>
      </c>
      <c r="Q19" s="737">
        <f>Table1351452010[[#This Row],[Total
รายการเบิก
คอมขาย
(1)]]/Table1351452010[[#This Row],[แบ่งจ่าย/งวด
(ตามปีสัญญา)]]</f>
        <v>1152.3600000000001</v>
      </c>
      <c r="R19" s="752">
        <v>1152.3599999999999</v>
      </c>
      <c r="S19" s="738"/>
      <c r="T19" s="738"/>
      <c r="U19" s="762"/>
      <c r="V19" s="621">
        <v>0</v>
      </c>
      <c r="W19" s="593"/>
      <c r="X19" s="594">
        <f>IF(Table1351452010[[#This Row],[หัก ณ ที่จ่าย
(ค่าติตั้ง)]]="มี",Table1351452010[[#This Row],[ค่าเชื่อมสัญญาณ/
ค่าติดตั้ง/
ค่าขายอุปกรณ์]]*$X$3,0)</f>
        <v>0</v>
      </c>
      <c r="Y19" s="396">
        <f>Table1351452010[[#This Row],[ค่าเชื่อมสัญญาณ/
ค่าติดตั้ง/
ค่าขายอุปกรณ์]]-Table1351452010[[#This Row],[มูลค่าหัก 3%
(ค่าติดตั้ง)]]</f>
        <v>0</v>
      </c>
      <c r="Z19" s="331"/>
      <c r="AA19" s="664">
        <f>Table1351452010[[#This Row],[ค่าเชื่อมสัญญาณ/
ค่าติดตั้ง/
ค่าขายอุปกรณ์
(เรียกเก็บสุทธิ)]]-Table1351452010[[#This Row],[ต้นทุน]]</f>
        <v>0</v>
      </c>
      <c r="AB19" s="536" t="str">
        <f>IF(Table1351452010[[#This Row],[ส่วนต่างกำไร]]&lt;(Table1351452010[[#This Row],[ต้นทุน]]*5%),Table1351452010[[#This Row],[ค่าเชื่อมสัญญาณ/
ค่าติดตั้ง/
ค่าขายอุปกรณ์
(เรียกเก็บสุทธิ)]]*$AB$3,"0")</f>
        <v>0</v>
      </c>
      <c r="AC19" s="536">
        <f>IF(Table1351452010[[#This Row],[ส่วนต่างกำไร]]&gt;=(Table1351452010[[#This Row],[ต้นทุน]]*5%),Table1351452010[[#This Row],[ค่าเชื่อมสัญญาณ/
ค่าติดตั้ง/
ค่าขายอุปกรณ์
(เรียกเก็บสุทธิ)]]*$AC$3,"0")</f>
        <v>0</v>
      </c>
      <c r="AD19" s="611">
        <f>SUM(Table1351452010[[#This Row],[คอมฯ
 5%]:[คอมฯ
10%]])</f>
        <v>0</v>
      </c>
      <c r="AE19" s="623">
        <v>0</v>
      </c>
      <c r="AF19" s="593"/>
      <c r="AG19" s="615">
        <f>IF(Table1351452010[[#This Row],[หัก ณ ที่จ่าย
(ค่าเชื่อมสัญญาณ)]]="มี",Table1351452010[[#This Row],[ค่าเชื่อมสัญญาณ]]*$AG$3,0)</f>
        <v>0</v>
      </c>
      <c r="AH19" s="397">
        <f>Table1351452010[[#This Row],[ค่าเชื่อมสัญญาณ]]-Table1351452010[[#This Row],[มูลค่าหัก 3%
(ค่าเชื่อมสัญญาณ)]]</f>
        <v>0</v>
      </c>
      <c r="AI19" s="402">
        <f>Table1351452010[[#This Row],[ค่าเชื่อมสัญญาณ
(เรียกเก็บสุทธิ)]]*$AI$4</f>
        <v>0</v>
      </c>
      <c r="AJ19" s="537">
        <f>Table1351452010[[#This Row],[ปีที่1
(ทำจ่ายรอบ 3/2025)]]+Table1351452010[[#This Row],[Total
ค่าเชื่มสัญญาณ/ค่าติดตั้ง/
ค่าขายอุปกรณ์
(2)]]+Table1351452010[[#This Row],[Total 
คอมฯค่าเชื่อมสัญญาณ
(3)]]</f>
        <v>1152.3600000000001</v>
      </c>
      <c r="AK19" s="538" t="s">
        <v>271</v>
      </c>
      <c r="AL19" s="538" t="s">
        <v>266</v>
      </c>
      <c r="AM19" s="539" t="s">
        <v>267</v>
      </c>
      <c r="AN19" s="507" t="s">
        <v>242</v>
      </c>
    </row>
    <row r="20" spans="1:40" s="567" customFormat="1" ht="27" customHeight="1">
      <c r="A20" s="720" t="s">
        <v>217</v>
      </c>
      <c r="B20" s="543"/>
      <c r="C20" s="541"/>
      <c r="D20" s="740" t="s">
        <v>269</v>
      </c>
      <c r="E20" s="542"/>
      <c r="F20" s="542"/>
      <c r="G20" s="568"/>
      <c r="H20" s="669"/>
      <c r="I20" s="544"/>
      <c r="J20" s="769"/>
      <c r="K20" s="769"/>
      <c r="L20" s="770"/>
      <c r="M20" s="771"/>
      <c r="N20" s="546"/>
      <c r="O20" s="547"/>
      <c r="P20" s="548"/>
      <c r="Q20" s="682"/>
      <c r="R20" s="765" t="s">
        <v>249</v>
      </c>
      <c r="S20" s="754"/>
      <c r="T20" s="754"/>
      <c r="U20" s="755"/>
      <c r="V20" s="391"/>
      <c r="W20" s="409"/>
      <c r="X20" s="411"/>
      <c r="Y20" s="389"/>
      <c r="Z20" s="392"/>
      <c r="AA20" s="665" t="e">
        <f t="shared" ref="AA20" si="3">AA19/Z19</f>
        <v>#DIV/0!</v>
      </c>
      <c r="AB20" s="587"/>
      <c r="AC20" s="587"/>
      <c r="AD20" s="612"/>
      <c r="AE20" s="406"/>
      <c r="AF20" s="409"/>
      <c r="AG20" s="409"/>
      <c r="AH20" s="393"/>
      <c r="AI20" s="403"/>
      <c r="AJ20" s="549"/>
      <c r="AK20" s="550"/>
      <c r="AL20" s="550"/>
      <c r="AM20" s="551"/>
      <c r="AN20" s="507"/>
    </row>
    <row r="21" spans="1:40" s="567" customFormat="1" ht="27" customHeight="1">
      <c r="A21" s="540">
        <v>23.8857142857143</v>
      </c>
      <c r="B21" s="543"/>
      <c r="C21" s="540"/>
      <c r="D21" s="744" t="s">
        <v>270</v>
      </c>
      <c r="E21" s="552"/>
      <c r="F21" s="552"/>
      <c r="G21" s="568"/>
      <c r="H21" s="669"/>
      <c r="I21" s="544"/>
      <c r="J21" s="542"/>
      <c r="K21" s="542"/>
      <c r="L21" s="545"/>
      <c r="M21" s="545"/>
      <c r="N21" s="542"/>
      <c r="O21" s="553"/>
      <c r="P21" s="554"/>
      <c r="Q21" s="683"/>
      <c r="R21" s="756"/>
      <c r="S21" s="757"/>
      <c r="T21" s="757"/>
      <c r="U21" s="758"/>
      <c r="V21" s="391"/>
      <c r="W21" s="409"/>
      <c r="X21" s="411"/>
      <c r="Y21" s="389"/>
      <c r="Z21" s="392"/>
      <c r="AA21" s="392"/>
      <c r="AB21" s="587"/>
      <c r="AC21" s="587"/>
      <c r="AD21" s="613"/>
      <c r="AE21" s="407"/>
      <c r="AF21" s="409"/>
      <c r="AG21" s="409"/>
      <c r="AH21" s="393"/>
      <c r="AI21" s="403"/>
      <c r="AJ21" s="549"/>
      <c r="AK21" s="550"/>
      <c r="AL21" s="550"/>
      <c r="AM21" s="551"/>
      <c r="AN21" s="507"/>
    </row>
    <row r="22" spans="1:40" s="567" customFormat="1" ht="27" customHeight="1" thickBot="1">
      <c r="A22" s="555">
        <v>25.092857142857198</v>
      </c>
      <c r="B22" s="557"/>
      <c r="C22" s="555"/>
      <c r="D22" s="745" t="s">
        <v>283</v>
      </c>
      <c r="E22" s="556"/>
      <c r="F22" s="556"/>
      <c r="G22" s="558"/>
      <c r="H22" s="670"/>
      <c r="I22" s="559"/>
      <c r="J22" s="560"/>
      <c r="K22" s="560"/>
      <c r="L22" s="766"/>
      <c r="M22" s="561"/>
      <c r="N22" s="560"/>
      <c r="O22" s="562"/>
      <c r="P22" s="563"/>
      <c r="Q22" s="684"/>
      <c r="R22" s="759"/>
      <c r="S22" s="760"/>
      <c r="T22" s="760"/>
      <c r="U22" s="761"/>
      <c r="V22" s="394"/>
      <c r="W22" s="410"/>
      <c r="X22" s="412"/>
      <c r="Y22" s="390"/>
      <c r="Z22" s="388"/>
      <c r="AA22" s="666"/>
      <c r="AB22" s="588"/>
      <c r="AC22" s="588"/>
      <c r="AD22" s="614"/>
      <c r="AE22" s="408"/>
      <c r="AF22" s="410"/>
      <c r="AG22" s="410"/>
      <c r="AH22" s="395"/>
      <c r="AI22" s="404"/>
      <c r="AJ22" s="564"/>
      <c r="AK22" s="565"/>
      <c r="AL22" s="565"/>
      <c r="AM22" s="566"/>
      <c r="AN22" s="680"/>
    </row>
    <row r="23" spans="1:40" s="567" customFormat="1" ht="27" customHeight="1">
      <c r="A23" s="616">
        <v>5</v>
      </c>
      <c r="B23" s="732">
        <v>45627</v>
      </c>
      <c r="C23" s="617">
        <v>120000069170</v>
      </c>
      <c r="D23" s="739" t="s">
        <v>252</v>
      </c>
      <c r="E23" s="618" t="s">
        <v>73</v>
      </c>
      <c r="F23" s="618" t="s">
        <v>45</v>
      </c>
      <c r="G23" s="619">
        <v>24</v>
      </c>
      <c r="H23" s="733">
        <v>4.2999999999999997E-2</v>
      </c>
      <c r="I23" s="622">
        <v>45689</v>
      </c>
      <c r="J23" s="620">
        <v>14100</v>
      </c>
      <c r="K23" s="620">
        <v>0</v>
      </c>
      <c r="L23" s="590" t="s">
        <v>187</v>
      </c>
      <c r="M23" s="591">
        <f>IF(Table1351452010[[#This Row],[หัก ณ ที่จ่าย
(ค่าบริการ)]]="มี",Table1351452010[[#This Row],[ค่าบริการเฉลี่ยต่อเดือน]]*3%,0)</f>
        <v>0</v>
      </c>
      <c r="N23" s="534">
        <f>Table1351452010[[#This Row],[ค่าบริการเฉลี่ยต่อเดือน]]-Table1351452010[[#This Row],[มูลค่าหัก 3%]]</f>
        <v>14100</v>
      </c>
      <c r="O23" s="535">
        <f>(Table1351452010[[#This Row],[ค่าบริการเฉลียรายเดือนตาม Package
(เรียกเก็บสุทธิ)]]*Table1351452010[[#This Row],[% ค่าคอมค่าบริการ
(อัตราก้าวหน้า)]])*Table1351452010[[#This Row],[ระยะเวลาสัญญา
(เดือน)]]</f>
        <v>14551.199999999999</v>
      </c>
      <c r="P23" s="735">
        <f>Table1351452010[[#This Row],[ระยะเวลาสัญญา
(เดือน)]]/$P$5</f>
        <v>2</v>
      </c>
      <c r="Q23" s="737">
        <f>Table1351452010[[#This Row],[Total
รายการเบิก
คอมขาย
(1)]]/Table1351452010[[#This Row],[แบ่งจ่าย/งวด
(ตามปีสัญญา)]]</f>
        <v>7275.5999999999995</v>
      </c>
      <c r="R23" s="752">
        <v>7275.6</v>
      </c>
      <c r="S23" s="738"/>
      <c r="T23" s="738"/>
      <c r="U23" s="762"/>
      <c r="V23" s="621">
        <v>50000</v>
      </c>
      <c r="W23" s="593" t="s">
        <v>187</v>
      </c>
      <c r="X23" s="594">
        <f>IF(Table1351452010[[#This Row],[หัก ณ ที่จ่าย
(ค่าติตั้ง)]]="มี",Table1351452010[[#This Row],[ค่าเชื่อมสัญญาณ/
ค่าติดตั้ง/
ค่าขายอุปกรณ์]]*$X$3,0)</f>
        <v>0</v>
      </c>
      <c r="Y23" s="778">
        <f>(Table1351452010[[#This Row],[ค่าเชื่อมสัญญาณ/
ค่าติดตั้ง/
ค่าขายอุปกรณ์]]+V24)-Table1351452010[[#This Row],[มูลค่าหัก 3%
(ค่าติดตั้ง)]]</f>
        <v>62000</v>
      </c>
      <c r="Z23" s="331">
        <v>169755.46</v>
      </c>
      <c r="AA23" s="664">
        <f>Table1351452010[[#This Row],[ค่าเชื่อมสัญญาณ/
ค่าติดตั้ง/
ค่าขายอุปกรณ์
(เรียกเก็บสุทธิ)]]-Table1351452010[[#This Row],[ต้นทุน]]</f>
        <v>-107755.45999999999</v>
      </c>
      <c r="AB23" s="536">
        <f>IF(Table1351452010[[#This Row],[ส่วนต่างกำไร]]&lt;(Table1351452010[[#This Row],[ต้นทุน]]*5%),Table1351452010[[#This Row],[ค่าเชื่อมสัญญาณ/
ค่าติดตั้ง/
ค่าขายอุปกรณ์
(เรียกเก็บสุทธิ)]]*$AB$3,"0")</f>
        <v>3100</v>
      </c>
      <c r="AC23" s="536" t="str">
        <f>IF(Table1351452010[[#This Row],[ส่วนต่างกำไร]]&gt;=(Table1351452010[[#This Row],[ต้นทุน]]*5%),Table1351452010[[#This Row],[ค่าเชื่อมสัญญาณ/
ค่าติดตั้ง/
ค่าขายอุปกรณ์
(เรียกเก็บสุทธิ)]]*$AC$3,"0")</f>
        <v>0</v>
      </c>
      <c r="AD23" s="611">
        <f>SUM(Table1351452010[[#This Row],[คอมฯ
 5%]:[คอมฯ
10%]])</f>
        <v>3100</v>
      </c>
      <c r="AE23" s="623"/>
      <c r="AF23" s="593"/>
      <c r="AG23" s="615">
        <f>IF(Table1351452010[[#This Row],[หัก ณ ที่จ่าย
(ค่าเชื่อมสัญญาณ)]]="มี",Table1351452010[[#This Row],[ค่าเชื่อมสัญญาณ]]*$AG$3,0)</f>
        <v>0</v>
      </c>
      <c r="AH23" s="397">
        <f>Table1351452010[[#This Row],[ค่าเชื่อมสัญญาณ]]-Table1351452010[[#This Row],[มูลค่าหัก 3%
(ค่าเชื่อมสัญญาณ)]]</f>
        <v>0</v>
      </c>
      <c r="AI23" s="402">
        <f>Table1351452010[[#This Row],[ค่าเชื่อมสัญญาณ
(เรียกเก็บสุทธิ)]]*$AI$4</f>
        <v>0</v>
      </c>
      <c r="AJ23" s="537">
        <f>Table1351452010[[#This Row],[ปีที่1
(ทำจ่ายรอบ 3/2025)]]+Table1351452010[[#This Row],[Total
ค่าเชื่มสัญญาณ/ค่าติดตั้ง/
ค่าขายอุปกรณ์
(2)]]+Table1351452010[[#This Row],[Total 
คอมฯค่าเชื่อมสัญญาณ
(3)]]</f>
        <v>10375.599999999999</v>
      </c>
      <c r="AK23" s="538" t="s">
        <v>256</v>
      </c>
      <c r="AL23" s="538" t="s">
        <v>260</v>
      </c>
      <c r="AM23" s="539" t="s">
        <v>259</v>
      </c>
      <c r="AN23" s="507" t="s">
        <v>242</v>
      </c>
    </row>
    <row r="24" spans="1:40" s="567" customFormat="1" ht="27" customHeight="1">
      <c r="A24" s="720" t="s">
        <v>216</v>
      </c>
      <c r="B24" s="543"/>
      <c r="C24" s="541"/>
      <c r="D24" s="740" t="s">
        <v>253</v>
      </c>
      <c r="E24" s="542"/>
      <c r="F24" s="542"/>
      <c r="G24" s="568"/>
      <c r="H24" s="669"/>
      <c r="I24" s="544"/>
      <c r="J24" s="542"/>
      <c r="K24" s="542"/>
      <c r="L24" s="545"/>
      <c r="M24" s="545"/>
      <c r="N24" s="546"/>
      <c r="O24" s="547"/>
      <c r="P24" s="548"/>
      <c r="Q24" s="682"/>
      <c r="R24" s="765" t="s">
        <v>249</v>
      </c>
      <c r="S24" s="754"/>
      <c r="T24" s="754"/>
      <c r="U24" s="755"/>
      <c r="V24" s="391">
        <v>12000</v>
      </c>
      <c r="W24" s="773" t="s">
        <v>187</v>
      </c>
      <c r="X24" s="775">
        <f>IF(Table1351452010[[#This Row],[หัก ณ ที่จ่าย
(ค่าติตั้ง)]]="มี",Table1351452010[[#This Row],[ค่าเชื่อมสัญญาณ/
ค่าติดตั้ง/
ค่าขายอุปกรณ์]]*$X$3,0)</f>
        <v>0</v>
      </c>
      <c r="Y24" s="389"/>
      <c r="Z24" s="392"/>
      <c r="AA24" s="665">
        <f t="shared" ref="AA24" si="4">AA23/Z23</f>
        <v>-0.63476874322628563</v>
      </c>
      <c r="AB24" s="587"/>
      <c r="AC24" s="587"/>
      <c r="AD24" s="612"/>
      <c r="AE24" s="406"/>
      <c r="AF24" s="409"/>
      <c r="AG24" s="409"/>
      <c r="AH24" s="393"/>
      <c r="AI24" s="403"/>
      <c r="AJ24" s="549"/>
      <c r="AK24" s="550" t="s">
        <v>257</v>
      </c>
      <c r="AL24" s="550"/>
      <c r="AM24" s="551"/>
      <c r="AN24" s="507"/>
    </row>
    <row r="25" spans="1:40" s="567" customFormat="1" ht="27" customHeight="1">
      <c r="A25" s="540">
        <v>23.8857142857143</v>
      </c>
      <c r="B25" s="543"/>
      <c r="C25" s="540"/>
      <c r="D25" s="744"/>
      <c r="E25" s="552"/>
      <c r="F25" s="552"/>
      <c r="G25" s="568"/>
      <c r="H25" s="669"/>
      <c r="I25" s="544"/>
      <c r="J25" s="542"/>
      <c r="K25" s="542"/>
      <c r="L25" s="545"/>
      <c r="M25" s="545"/>
      <c r="N25" s="542"/>
      <c r="O25" s="553"/>
      <c r="P25" s="554"/>
      <c r="Q25" s="683"/>
      <c r="R25" s="756"/>
      <c r="S25" s="757"/>
      <c r="T25" s="757"/>
      <c r="U25" s="758"/>
      <c r="V25" s="391"/>
      <c r="W25" s="409"/>
      <c r="X25" s="411"/>
      <c r="Y25" s="389"/>
      <c r="Z25" s="392"/>
      <c r="AA25" s="392"/>
      <c r="AB25" s="587"/>
      <c r="AC25" s="587"/>
      <c r="AD25" s="613"/>
      <c r="AE25" s="407"/>
      <c r="AF25" s="409"/>
      <c r="AG25" s="409"/>
      <c r="AH25" s="393"/>
      <c r="AI25" s="403"/>
      <c r="AJ25" s="549"/>
      <c r="AK25" s="550" t="s">
        <v>258</v>
      </c>
      <c r="AL25" s="550"/>
      <c r="AM25" s="551"/>
      <c r="AN25" s="507"/>
    </row>
    <row r="26" spans="1:40" s="567" customFormat="1" ht="27" customHeight="1" thickBot="1">
      <c r="A26" s="555">
        <v>25.092857142857198</v>
      </c>
      <c r="B26" s="557"/>
      <c r="C26" s="555"/>
      <c r="D26" s="745"/>
      <c r="E26" s="556"/>
      <c r="F26" s="556"/>
      <c r="G26" s="558"/>
      <c r="H26" s="670"/>
      <c r="I26" s="559"/>
      <c r="J26" s="560"/>
      <c r="K26" s="560"/>
      <c r="L26" s="561"/>
      <c r="M26" s="561"/>
      <c r="N26" s="560"/>
      <c r="O26" s="562"/>
      <c r="P26" s="563"/>
      <c r="Q26" s="684"/>
      <c r="R26" s="759"/>
      <c r="S26" s="760"/>
      <c r="T26" s="760"/>
      <c r="U26" s="761"/>
      <c r="V26" s="394"/>
      <c r="W26" s="410"/>
      <c r="X26" s="412"/>
      <c r="Y26" s="390"/>
      <c r="Z26" s="388"/>
      <c r="AA26" s="666"/>
      <c r="AB26" s="588"/>
      <c r="AC26" s="588"/>
      <c r="AD26" s="614"/>
      <c r="AE26" s="408"/>
      <c r="AF26" s="410"/>
      <c r="AG26" s="410"/>
      <c r="AH26" s="395"/>
      <c r="AI26" s="404"/>
      <c r="AJ26" s="564"/>
      <c r="AK26" s="565"/>
      <c r="AL26" s="565"/>
      <c r="AM26" s="566"/>
      <c r="AN26" s="680"/>
    </row>
    <row r="27" spans="1:40" s="567" customFormat="1" ht="27" customHeight="1">
      <c r="A27" s="616">
        <v>6</v>
      </c>
      <c r="B27" s="732">
        <v>45627</v>
      </c>
      <c r="C27" s="617">
        <v>120000069059</v>
      </c>
      <c r="D27" s="739" t="s">
        <v>261</v>
      </c>
      <c r="E27" s="618" t="s">
        <v>151</v>
      </c>
      <c r="F27" s="618" t="s">
        <v>45</v>
      </c>
      <c r="G27" s="619">
        <v>12</v>
      </c>
      <c r="H27" s="733">
        <v>4.2999999999999997E-2</v>
      </c>
      <c r="I27" s="622">
        <v>45689</v>
      </c>
      <c r="J27" s="620">
        <v>16666</v>
      </c>
      <c r="K27" s="620">
        <v>0</v>
      </c>
      <c r="L27" s="590" t="s">
        <v>186</v>
      </c>
      <c r="M27" s="591">
        <f>IF(Table1351452010[[#This Row],[หัก ณ ที่จ่าย
(ค่าบริการ)]]="มี",Table1351452010[[#This Row],[ค่าบริการเฉลี่ยต่อเดือน]]*3%,0)</f>
        <v>499.97999999999996</v>
      </c>
      <c r="N27" s="534">
        <f>Table1351452010[[#This Row],[ค่าบริการเฉลี่ยต่อเดือน]]-Table1351452010[[#This Row],[มูลค่าหัก 3%]]</f>
        <v>16166.02</v>
      </c>
      <c r="O27" s="535">
        <f>(Table1351452010[[#This Row],[ค่าบริการเฉลียรายเดือนตาม Package
(เรียกเก็บสุทธิ)]]*Table1351452010[[#This Row],[% ค่าคอมค่าบริการ
(อัตราก้าวหน้า)]])*Table1351452010[[#This Row],[ระยะเวลาสัญญา
(เดือน)]]</f>
        <v>8341.6663199999984</v>
      </c>
      <c r="P27" s="735">
        <f>Table1351452010[[#This Row],[ระยะเวลาสัญญา
(เดือน)]]/$P$5</f>
        <v>1</v>
      </c>
      <c r="Q27" s="737">
        <f>Table1351452010[[#This Row],[Total
รายการเบิก
คอมขาย
(1)]]/Table1351452010[[#This Row],[แบ่งจ่าย/งวด
(ตามปีสัญญา)]]</f>
        <v>8341.6663199999984</v>
      </c>
      <c r="R27" s="752"/>
      <c r="S27" s="738"/>
      <c r="T27" s="738"/>
      <c r="U27" s="762"/>
      <c r="V27" s="621">
        <v>0</v>
      </c>
      <c r="W27" s="593"/>
      <c r="X27" s="594">
        <f>IF(Table1351452010[[#This Row],[หัก ณ ที่จ่าย
(ค่าติตั้ง)]]="มี",Table1351452010[[#This Row],[ค่าเชื่อมสัญญาณ/
ค่าติดตั้ง/
ค่าขายอุปกรณ์]]*$X$3,0)</f>
        <v>0</v>
      </c>
      <c r="Y27" s="396">
        <f>Table1351452010[[#This Row],[ค่าเชื่อมสัญญาณ/
ค่าติดตั้ง/
ค่าขายอุปกรณ์]]-Table1351452010[[#This Row],[มูลค่าหัก 3%
(ค่าติดตั้ง)]]</f>
        <v>0</v>
      </c>
      <c r="Z27" s="331"/>
      <c r="AA27" s="664">
        <f>Table1351452010[[#This Row],[ค่าเชื่อมสัญญาณ/
ค่าติดตั้ง/
ค่าขายอุปกรณ์
(เรียกเก็บสุทธิ)]]-Table1351452010[[#This Row],[ต้นทุน]]</f>
        <v>0</v>
      </c>
      <c r="AB27" s="536" t="str">
        <f>IF(Table1351452010[[#This Row],[ส่วนต่างกำไร]]&lt;(Table1351452010[[#This Row],[ต้นทุน]]*5%),Table1351452010[[#This Row],[ค่าเชื่อมสัญญาณ/
ค่าติดตั้ง/
ค่าขายอุปกรณ์
(เรียกเก็บสุทธิ)]]*$AB$3,"0")</f>
        <v>0</v>
      </c>
      <c r="AC27" s="536">
        <f>IF(Table1351452010[[#This Row],[ส่วนต่างกำไร]]&gt;=(Table1351452010[[#This Row],[ต้นทุน]]*5%),Table1351452010[[#This Row],[ค่าเชื่อมสัญญาณ/
ค่าติดตั้ง/
ค่าขายอุปกรณ์
(เรียกเก็บสุทธิ)]]*$AC$3,"0")</f>
        <v>0</v>
      </c>
      <c r="AD27" s="611">
        <f>SUM(Table1351452010[[#This Row],[คอมฯ
 5%]:[คอมฯ
10%]])</f>
        <v>0</v>
      </c>
      <c r="AE27" s="623"/>
      <c r="AF27" s="593"/>
      <c r="AG27" s="615">
        <f>IF(Table1351452010[[#This Row],[หัก ณ ที่จ่าย
(ค่าเชื่อมสัญญาณ)]]="มี",Table1351452010[[#This Row],[ค่าเชื่อมสัญญาณ]]*$AG$3,0)</f>
        <v>0</v>
      </c>
      <c r="AH27" s="397">
        <f>Table1351452010[[#This Row],[ค่าเชื่อมสัญญาณ]]-Table1351452010[[#This Row],[มูลค่าหัก 3%
(ค่าเชื่อมสัญญาณ)]]</f>
        <v>0</v>
      </c>
      <c r="AI27" s="402">
        <f>Table1351452010[[#This Row],[ค่าเชื่อมสัญญาณ
(เรียกเก็บสุทธิ)]]*$AI$4</f>
        <v>0</v>
      </c>
      <c r="AJ27" s="537">
        <f>Table1351452010[[#This Row],[ปีที่1
(ทำจ่ายรอบ 3/2025)]]+Table1351452010[[#This Row],[Total
ค่าเชื่มสัญญาณ/ค่าติดตั้ง/
ค่าขายอุปกรณ์
(2)]]+Table1351452010[[#This Row],[Total 
คอมฯค่าเชื่อมสัญญาณ
(3)]]</f>
        <v>8341.6663199999984</v>
      </c>
      <c r="AK27" s="538" t="s">
        <v>263</v>
      </c>
      <c r="AL27" s="538" t="s">
        <v>265</v>
      </c>
      <c r="AM27" s="539" t="s">
        <v>208</v>
      </c>
      <c r="AN27" s="507" t="s">
        <v>242</v>
      </c>
    </row>
    <row r="28" spans="1:40" s="567" customFormat="1" ht="27" customHeight="1">
      <c r="A28" s="720" t="s">
        <v>216</v>
      </c>
      <c r="B28" s="543"/>
      <c r="C28" s="541"/>
      <c r="D28" s="740" t="s">
        <v>262</v>
      </c>
      <c r="E28" s="542"/>
      <c r="F28" s="542"/>
      <c r="G28" s="568"/>
      <c r="H28" s="669"/>
      <c r="I28" s="544"/>
      <c r="J28" s="542"/>
      <c r="K28" s="542"/>
      <c r="L28" s="545"/>
      <c r="M28" s="545"/>
      <c r="N28" s="546"/>
      <c r="O28" s="547"/>
      <c r="P28" s="548"/>
      <c r="Q28" s="682"/>
      <c r="R28" s="753"/>
      <c r="S28" s="754"/>
      <c r="T28" s="754"/>
      <c r="U28" s="755"/>
      <c r="V28" s="391"/>
      <c r="W28" s="409"/>
      <c r="X28" s="411"/>
      <c r="Y28" s="389"/>
      <c r="Z28" s="392"/>
      <c r="AA28" s="665" t="e">
        <f t="shared" ref="AA28" si="5">AA27/Z27</f>
        <v>#DIV/0!</v>
      </c>
      <c r="AB28" s="587"/>
      <c r="AC28" s="587"/>
      <c r="AD28" s="612"/>
      <c r="AE28" s="406"/>
      <c r="AF28" s="409"/>
      <c r="AG28" s="409"/>
      <c r="AH28" s="393"/>
      <c r="AI28" s="403"/>
      <c r="AJ28" s="549"/>
      <c r="AK28" s="550"/>
      <c r="AL28" s="550"/>
      <c r="AM28" s="551"/>
      <c r="AN28" s="507"/>
    </row>
    <row r="29" spans="1:40" s="567" customFormat="1" ht="27" customHeight="1">
      <c r="A29" s="540">
        <v>23.8857142857143</v>
      </c>
      <c r="B29" s="543"/>
      <c r="C29" s="540"/>
      <c r="D29" s="744"/>
      <c r="E29" s="552"/>
      <c r="F29" s="552"/>
      <c r="G29" s="568"/>
      <c r="H29" s="669"/>
      <c r="I29" s="544"/>
      <c r="J29" s="542"/>
      <c r="K29" s="542"/>
      <c r="L29" s="545"/>
      <c r="M29" s="545"/>
      <c r="N29" s="542"/>
      <c r="O29" s="553"/>
      <c r="P29" s="554"/>
      <c r="Q29" s="683"/>
      <c r="R29" s="756"/>
      <c r="S29" s="757"/>
      <c r="T29" s="757"/>
      <c r="U29" s="758"/>
      <c r="V29" s="391"/>
      <c r="W29" s="409"/>
      <c r="X29" s="411"/>
      <c r="Y29" s="389"/>
      <c r="Z29" s="392"/>
      <c r="AA29" s="392"/>
      <c r="AB29" s="587"/>
      <c r="AC29" s="587"/>
      <c r="AD29" s="613"/>
      <c r="AE29" s="407"/>
      <c r="AF29" s="409"/>
      <c r="AG29" s="409"/>
      <c r="AH29" s="393"/>
      <c r="AI29" s="403"/>
      <c r="AJ29" s="549"/>
      <c r="AK29" s="550"/>
      <c r="AL29" s="550"/>
      <c r="AM29" s="551"/>
      <c r="AN29" s="507"/>
    </row>
    <row r="30" spans="1:40" s="567" customFormat="1" ht="27" customHeight="1" thickBot="1">
      <c r="A30" s="555">
        <v>25.092857142857198</v>
      </c>
      <c r="B30" s="557"/>
      <c r="C30" s="555"/>
      <c r="D30" s="745"/>
      <c r="E30" s="556"/>
      <c r="F30" s="556"/>
      <c r="G30" s="558"/>
      <c r="H30" s="670"/>
      <c r="I30" s="559"/>
      <c r="J30" s="560"/>
      <c r="K30" s="560"/>
      <c r="L30" s="561"/>
      <c r="M30" s="561"/>
      <c r="N30" s="560"/>
      <c r="O30" s="562"/>
      <c r="P30" s="563"/>
      <c r="Q30" s="684"/>
      <c r="R30" s="759"/>
      <c r="S30" s="760"/>
      <c r="T30" s="760"/>
      <c r="U30" s="761"/>
      <c r="V30" s="394"/>
      <c r="W30" s="410"/>
      <c r="X30" s="412"/>
      <c r="Y30" s="390"/>
      <c r="Z30" s="388"/>
      <c r="AA30" s="666"/>
      <c r="AB30" s="588"/>
      <c r="AC30" s="588"/>
      <c r="AD30" s="614"/>
      <c r="AE30" s="408"/>
      <c r="AF30" s="410"/>
      <c r="AG30" s="410"/>
      <c r="AH30" s="395"/>
      <c r="AI30" s="404"/>
      <c r="AJ30" s="564"/>
      <c r="AK30" s="565"/>
      <c r="AL30" s="565"/>
      <c r="AM30" s="566"/>
      <c r="AN30" s="680"/>
    </row>
    <row r="31" spans="1:40" s="567" customFormat="1" ht="27" customHeight="1">
      <c r="A31" s="616">
        <v>7</v>
      </c>
      <c r="B31" s="732">
        <v>45505</v>
      </c>
      <c r="C31" s="617">
        <v>120000068450</v>
      </c>
      <c r="D31" s="739" t="s">
        <v>235</v>
      </c>
      <c r="E31" s="618" t="s">
        <v>74</v>
      </c>
      <c r="F31" s="618" t="s">
        <v>45</v>
      </c>
      <c r="G31" s="619"/>
      <c r="H31" s="733" t="s">
        <v>214</v>
      </c>
      <c r="I31" s="622">
        <v>45505</v>
      </c>
      <c r="J31" s="620">
        <v>3500</v>
      </c>
      <c r="K31" s="620">
        <v>0</v>
      </c>
      <c r="L31" s="590" t="s">
        <v>186</v>
      </c>
      <c r="M31" s="591">
        <f>IF(Table1351452010[[#This Row],[หัก ณ ที่จ่าย
(ค่าบริการ)]]="มี",Table1351452010[[#This Row],[ค่าบริการเฉลี่ยต่อเดือน]]*3%,0)</f>
        <v>105</v>
      </c>
      <c r="N31" s="534">
        <f>Table1351452010[[#This Row],[ค่าบริการเฉลี่ยต่อเดือน]]-Table1351452010[[#This Row],[มูลค่าหัก 3%]]</f>
        <v>3395</v>
      </c>
      <c r="O31" s="535">
        <f>Table1351452010[[#This Row],[ค่าบริการเฉลียรายเดือนตาม Package
(เรียกเก็บสุทธิ)]]</f>
        <v>3395</v>
      </c>
      <c r="P31" s="735"/>
      <c r="Q31" s="737">
        <f>Table1351452010[[#This Row],[Total
รายการเบิก
คอมขาย
(1)]]</f>
        <v>3395</v>
      </c>
      <c r="R31" s="752"/>
      <c r="S31" s="738"/>
      <c r="T31" s="738"/>
      <c r="U31" s="762"/>
      <c r="V31" s="621">
        <v>0</v>
      </c>
      <c r="W31" s="593"/>
      <c r="X31" s="594">
        <f>IF(Table1351452010[[#This Row],[หัก ณ ที่จ่าย
(ค่าติตั้ง)]]="มี",Table1351452010[[#This Row],[ค่าเชื่อมสัญญาณ/
ค่าติดตั้ง/
ค่าขายอุปกรณ์]]*$X$3,0)</f>
        <v>0</v>
      </c>
      <c r="Y31" s="396">
        <f>Table1351452010[[#This Row],[ค่าเชื่อมสัญญาณ/
ค่าติดตั้ง/
ค่าขายอุปกรณ์]]-Table1351452010[[#This Row],[มูลค่าหัก 3%
(ค่าติดตั้ง)]]</f>
        <v>0</v>
      </c>
      <c r="Z31" s="331"/>
      <c r="AA31" s="664">
        <f>Table1351452010[[#This Row],[ค่าเชื่อมสัญญาณ/
ค่าติดตั้ง/
ค่าขายอุปกรณ์
(เรียกเก็บสุทธิ)]]-Table1351452010[[#This Row],[ต้นทุน]]</f>
        <v>0</v>
      </c>
      <c r="AB31" s="536" t="str">
        <f>IF(Table1351452010[[#This Row],[ส่วนต่างกำไร]]&lt;(Table1351452010[[#This Row],[ต้นทุน]]*5%),Table1351452010[[#This Row],[ค่าเชื่อมสัญญาณ/
ค่าติดตั้ง/
ค่าขายอุปกรณ์
(เรียกเก็บสุทธิ)]]*$AB$3,"0")</f>
        <v>0</v>
      </c>
      <c r="AC31" s="536">
        <f>IF(Table1351452010[[#This Row],[ส่วนต่างกำไร]]&gt;=(Table1351452010[[#This Row],[ต้นทุน]]*5%),Table1351452010[[#This Row],[ค่าเชื่อมสัญญาณ/
ค่าติดตั้ง/
ค่าขายอุปกรณ์
(เรียกเก็บสุทธิ)]]*$AC$3,"0")</f>
        <v>0</v>
      </c>
      <c r="AD31" s="611">
        <f>SUM(Table1351452010[[#This Row],[คอมฯ
 5%]:[คอมฯ
10%]])</f>
        <v>0</v>
      </c>
      <c r="AE31" s="623">
        <v>0</v>
      </c>
      <c r="AF31" s="593"/>
      <c r="AG31" s="615">
        <f>IF(Table1351452010[[#This Row],[หัก ณ ที่จ่าย
(ค่าเชื่อมสัญญาณ)]]="มี",Table1351452010[[#This Row],[ค่าเชื่อมสัญญาณ]]*$AG$3,0)</f>
        <v>0</v>
      </c>
      <c r="AH31" s="397">
        <f>Table1351452010[[#This Row],[ค่าเชื่อมสัญญาณ]]-Table1351452010[[#This Row],[มูลค่าหัก 3%
(ค่าเชื่อมสัญญาณ)]]</f>
        <v>0</v>
      </c>
      <c r="AI31" s="402">
        <f>Table1351452010[[#This Row],[ค่าเชื่อมสัญญาณ
(เรียกเก็บสุทธิ)]]*$AI$4</f>
        <v>0</v>
      </c>
      <c r="AJ31" s="537">
        <f>Table1351452010[[#This Row],[ปีที่1
(ทำจ่ายรอบ 3/2025)]]+Table1351452010[[#This Row],[Total
ค่าเชื่มสัญญาณ/ค่าติดตั้ง/
ค่าขายอุปกรณ์
(2)]]+Table1351452010[[#This Row],[Total 
คอมฯค่าเชื่อมสัญญาณ
(3)]]</f>
        <v>3395</v>
      </c>
      <c r="AK31" s="538" t="s">
        <v>244</v>
      </c>
      <c r="AL31" s="538" t="s">
        <v>245</v>
      </c>
      <c r="AM31" s="539" t="s">
        <v>208</v>
      </c>
      <c r="AN31" s="507" t="s">
        <v>242</v>
      </c>
    </row>
    <row r="32" spans="1:40" s="567" customFormat="1" ht="27" customHeight="1">
      <c r="A32" s="720" t="s">
        <v>216</v>
      </c>
      <c r="B32" s="543"/>
      <c r="C32" s="541"/>
      <c r="D32" s="740" t="s">
        <v>236</v>
      </c>
      <c r="E32" s="542"/>
      <c r="F32" s="542"/>
      <c r="G32" s="568"/>
      <c r="H32" s="669"/>
      <c r="I32" s="544"/>
      <c r="J32" s="542"/>
      <c r="K32" s="542"/>
      <c r="L32" s="545"/>
      <c r="M32" s="545"/>
      <c r="N32" s="546"/>
      <c r="O32" s="547"/>
      <c r="P32" s="548"/>
      <c r="Q32" s="682"/>
      <c r="R32" s="753"/>
      <c r="S32" s="754"/>
      <c r="T32" s="754"/>
      <c r="U32" s="755"/>
      <c r="V32" s="391"/>
      <c r="W32" s="409"/>
      <c r="X32" s="411"/>
      <c r="Y32" s="389"/>
      <c r="Z32" s="392"/>
      <c r="AA32" s="665" t="e">
        <f t="shared" ref="AA32" si="6">AA31/Z31</f>
        <v>#DIV/0!</v>
      </c>
      <c r="AB32" s="587"/>
      <c r="AC32" s="587"/>
      <c r="AD32" s="612"/>
      <c r="AE32" s="406"/>
      <c r="AF32" s="409"/>
      <c r="AG32" s="409"/>
      <c r="AH32" s="393"/>
      <c r="AI32" s="403"/>
      <c r="AJ32" s="549"/>
      <c r="AK32" s="550"/>
      <c r="AL32" s="550"/>
      <c r="AM32" s="551"/>
      <c r="AN32" s="507"/>
    </row>
    <row r="33" spans="1:40" s="567" customFormat="1" ht="27" customHeight="1">
      <c r="A33" s="540">
        <v>23.8857142857143</v>
      </c>
      <c r="B33" s="543"/>
      <c r="C33" s="540"/>
      <c r="D33" s="744"/>
      <c r="E33" s="552"/>
      <c r="F33" s="552"/>
      <c r="G33" s="568"/>
      <c r="H33" s="669"/>
      <c r="I33" s="544"/>
      <c r="J33" s="542"/>
      <c r="K33" s="542"/>
      <c r="L33" s="545"/>
      <c r="M33" s="545"/>
      <c r="N33" s="542"/>
      <c r="O33" s="553"/>
      <c r="P33" s="554"/>
      <c r="Q33" s="683"/>
      <c r="R33" s="756"/>
      <c r="S33" s="757"/>
      <c r="T33" s="757"/>
      <c r="U33" s="758"/>
      <c r="V33" s="391"/>
      <c r="W33" s="409"/>
      <c r="X33" s="411"/>
      <c r="Y33" s="389"/>
      <c r="Z33" s="392"/>
      <c r="AA33" s="392"/>
      <c r="AB33" s="587"/>
      <c r="AC33" s="587"/>
      <c r="AD33" s="613"/>
      <c r="AE33" s="407"/>
      <c r="AF33" s="409"/>
      <c r="AG33" s="409"/>
      <c r="AH33" s="393"/>
      <c r="AI33" s="403"/>
      <c r="AJ33" s="549"/>
      <c r="AK33" s="550"/>
      <c r="AL33" s="550"/>
      <c r="AM33" s="551"/>
      <c r="AN33" s="507"/>
    </row>
    <row r="34" spans="1:40" s="567" customFormat="1" ht="27" customHeight="1" thickBot="1">
      <c r="A34" s="555">
        <v>25.092857142857198</v>
      </c>
      <c r="B34" s="557"/>
      <c r="C34" s="555"/>
      <c r="D34" s="745"/>
      <c r="E34" s="556"/>
      <c r="F34" s="556"/>
      <c r="G34" s="558"/>
      <c r="H34" s="670"/>
      <c r="I34" s="559"/>
      <c r="J34" s="560"/>
      <c r="K34" s="560"/>
      <c r="L34" s="561"/>
      <c r="M34" s="561"/>
      <c r="N34" s="560"/>
      <c r="O34" s="562"/>
      <c r="P34" s="563"/>
      <c r="Q34" s="684"/>
      <c r="R34" s="759"/>
      <c r="S34" s="760"/>
      <c r="T34" s="760"/>
      <c r="U34" s="761"/>
      <c r="V34" s="394"/>
      <c r="W34" s="410"/>
      <c r="X34" s="412"/>
      <c r="Y34" s="390"/>
      <c r="Z34" s="388"/>
      <c r="AA34" s="666"/>
      <c r="AB34" s="588"/>
      <c r="AC34" s="588"/>
      <c r="AD34" s="614"/>
      <c r="AE34" s="408"/>
      <c r="AF34" s="410"/>
      <c r="AG34" s="410"/>
      <c r="AH34" s="395"/>
      <c r="AI34" s="404"/>
      <c r="AJ34" s="564"/>
      <c r="AK34" s="565"/>
      <c r="AL34" s="565"/>
      <c r="AM34" s="566"/>
      <c r="AN34" s="680"/>
    </row>
    <row r="35" spans="1:40" s="567" customFormat="1" ht="27" customHeight="1">
      <c r="A35" s="616">
        <v>8</v>
      </c>
      <c r="B35" s="732">
        <v>45536</v>
      </c>
      <c r="C35" s="617">
        <v>120000069054</v>
      </c>
      <c r="D35" s="739" t="s">
        <v>230</v>
      </c>
      <c r="E35" s="618" t="s">
        <v>130</v>
      </c>
      <c r="F35" s="618" t="s">
        <v>45</v>
      </c>
      <c r="G35" s="619"/>
      <c r="H35" s="733" t="s">
        <v>214</v>
      </c>
      <c r="I35" s="622">
        <v>45658</v>
      </c>
      <c r="J35" s="620">
        <v>1000</v>
      </c>
      <c r="K35" s="620">
        <v>0</v>
      </c>
      <c r="L35" s="590" t="s">
        <v>187</v>
      </c>
      <c r="M35" s="591">
        <f>IF(Table1351452010[[#This Row],[หัก ณ ที่จ่าย
(ค่าบริการ)]]="มี",Table1351452010[[#This Row],[ค่าบริการเฉลี่ยต่อเดือน]]*3%,0)</f>
        <v>0</v>
      </c>
      <c r="N35" s="534">
        <f>Table1351452010[[#This Row],[ค่าบริการเฉลี่ยต่อเดือน]]-Table1351452010[[#This Row],[มูลค่าหัก 3%]]</f>
        <v>1000</v>
      </c>
      <c r="O35" s="535">
        <f>Table1351452010[[#This Row],[ค่าบริการเฉลียรายเดือนตาม Package
(เรียกเก็บสุทธิ)]]</f>
        <v>1000</v>
      </c>
      <c r="P35" s="735"/>
      <c r="Q35" s="737">
        <f>Table1351452010[[#This Row],[Total
รายการเบิก
คอมขาย
(1)]]</f>
        <v>1000</v>
      </c>
      <c r="R35" s="752"/>
      <c r="S35" s="738"/>
      <c r="T35" s="738"/>
      <c r="U35" s="762"/>
      <c r="V35" s="621">
        <v>0</v>
      </c>
      <c r="W35" s="593"/>
      <c r="X35" s="594">
        <f>IF(Table1351452010[[#This Row],[หัก ณ ที่จ่าย
(ค่าติตั้ง)]]="มี",Table1351452010[[#This Row],[ค่าเชื่อมสัญญาณ/
ค่าติดตั้ง/
ค่าขายอุปกรณ์]]*$X$3,0)</f>
        <v>0</v>
      </c>
      <c r="Y35" s="396">
        <f>Table1351452010[[#This Row],[ค่าเชื่อมสัญญาณ/
ค่าติดตั้ง/
ค่าขายอุปกรณ์]]-Table1351452010[[#This Row],[มูลค่าหัก 3%
(ค่าติดตั้ง)]]</f>
        <v>0</v>
      </c>
      <c r="Z35" s="331"/>
      <c r="AA35" s="664">
        <f>Table1351452010[[#This Row],[ค่าเชื่อมสัญญาณ/
ค่าติดตั้ง/
ค่าขายอุปกรณ์
(เรียกเก็บสุทธิ)]]-Table1351452010[[#This Row],[ต้นทุน]]</f>
        <v>0</v>
      </c>
      <c r="AB35" s="536" t="str">
        <f>IF(Table1351452010[[#This Row],[ส่วนต่างกำไร]]&lt;(Table1351452010[[#This Row],[ต้นทุน]]*5%),Table1351452010[[#This Row],[ค่าเชื่อมสัญญาณ/
ค่าติดตั้ง/
ค่าขายอุปกรณ์
(เรียกเก็บสุทธิ)]]*$AB$3,"0")</f>
        <v>0</v>
      </c>
      <c r="AC35" s="536">
        <f>IF(Table1351452010[[#This Row],[ส่วนต่างกำไร]]&gt;=(Table1351452010[[#This Row],[ต้นทุน]]*5%),Table1351452010[[#This Row],[ค่าเชื่อมสัญญาณ/
ค่าติดตั้ง/
ค่าขายอุปกรณ์
(เรียกเก็บสุทธิ)]]*$AC$3,"0")</f>
        <v>0</v>
      </c>
      <c r="AD35" s="611">
        <f>SUM(Table1351452010[[#This Row],[คอมฯ
 5%]:[คอมฯ
10%]])</f>
        <v>0</v>
      </c>
      <c r="AE35" s="623"/>
      <c r="AF35" s="593"/>
      <c r="AG35" s="615">
        <f>IF(Table1351452010[[#This Row],[หัก ณ ที่จ่าย
(ค่าเชื่อมสัญญาณ)]]="มี",Table1351452010[[#This Row],[ค่าเชื่อมสัญญาณ]]*$AG$3,0)</f>
        <v>0</v>
      </c>
      <c r="AH35" s="397">
        <f>Table1351452010[[#This Row],[ค่าเชื่อมสัญญาณ]]-Table1351452010[[#This Row],[มูลค่าหัก 3%
(ค่าเชื่อมสัญญาณ)]]</f>
        <v>0</v>
      </c>
      <c r="AI35" s="402">
        <f>Table1351452010[[#This Row],[ค่าเชื่อมสัญญาณ
(เรียกเก็บสุทธิ)]]*$AI$4</f>
        <v>0</v>
      </c>
      <c r="AJ35" s="537">
        <f>Table1351452010[[#This Row],[ปีที่1
(ทำจ่ายรอบ 3/2025)]]+Table1351452010[[#This Row],[Total
ค่าเชื่มสัญญาณ/ค่าติดตั้ง/
ค่าขายอุปกรณ์
(2)]]+Table1351452010[[#This Row],[Total 
คอมฯค่าเชื่อมสัญญาณ
(3)]]</f>
        <v>1000</v>
      </c>
      <c r="AK35" s="538" t="s">
        <v>231</v>
      </c>
      <c r="AL35" s="538" t="s">
        <v>272</v>
      </c>
      <c r="AM35" s="539" t="s">
        <v>232</v>
      </c>
      <c r="AN35" s="507" t="s">
        <v>242</v>
      </c>
    </row>
    <row r="36" spans="1:40" s="567" customFormat="1" ht="27" customHeight="1">
      <c r="A36" s="720" t="s">
        <v>216</v>
      </c>
      <c r="B36" s="677"/>
      <c r="C36" s="541"/>
      <c r="D36" s="740" t="s">
        <v>229</v>
      </c>
      <c r="E36" s="542"/>
      <c r="F36" s="542"/>
      <c r="G36" s="568"/>
      <c r="H36" s="669"/>
      <c r="I36" s="544"/>
      <c r="J36" s="542"/>
      <c r="K36" s="542"/>
      <c r="L36" s="545"/>
      <c r="M36" s="545"/>
      <c r="N36" s="546"/>
      <c r="O36" s="547"/>
      <c r="P36" s="548"/>
      <c r="Q36" s="682"/>
      <c r="R36" s="753"/>
      <c r="S36" s="754"/>
      <c r="T36" s="754"/>
      <c r="U36" s="755"/>
      <c r="V36" s="391"/>
      <c r="W36" s="409"/>
      <c r="X36" s="411"/>
      <c r="Y36" s="389"/>
      <c r="Z36" s="392"/>
      <c r="AA36" s="665" t="e">
        <f t="shared" ref="AA36" si="7">AA35/Z35</f>
        <v>#DIV/0!</v>
      </c>
      <c r="AB36" s="587"/>
      <c r="AC36" s="587"/>
      <c r="AD36" s="612"/>
      <c r="AE36" s="406"/>
      <c r="AF36" s="409"/>
      <c r="AG36" s="409"/>
      <c r="AH36" s="393"/>
      <c r="AI36" s="403"/>
      <c r="AJ36" s="549"/>
      <c r="AK36" s="550"/>
      <c r="AL36" s="550"/>
      <c r="AM36" s="551"/>
      <c r="AN36" s="507"/>
    </row>
    <row r="37" spans="1:40" s="567" customFormat="1" ht="32.4" customHeight="1">
      <c r="A37" s="540">
        <v>14.228571428571501</v>
      </c>
      <c r="B37" s="543"/>
      <c r="C37" s="540"/>
      <c r="D37" s="743"/>
      <c r="E37" s="552"/>
      <c r="F37" s="552"/>
      <c r="G37" s="568"/>
      <c r="H37" s="669"/>
      <c r="I37" s="544"/>
      <c r="J37" s="542"/>
      <c r="K37" s="542"/>
      <c r="L37" s="545"/>
      <c r="M37" s="545"/>
      <c r="N37" s="542"/>
      <c r="O37" s="553"/>
      <c r="P37" s="554"/>
      <c r="Q37" s="683"/>
      <c r="R37" s="756"/>
      <c r="S37" s="757"/>
      <c r="T37" s="757"/>
      <c r="U37" s="758"/>
      <c r="V37" s="391"/>
      <c r="W37" s="409"/>
      <c r="X37" s="411"/>
      <c r="Y37" s="389"/>
      <c r="Z37" s="392"/>
      <c r="AA37" s="392"/>
      <c r="AB37" s="587"/>
      <c r="AC37" s="587"/>
      <c r="AD37" s="613"/>
      <c r="AE37" s="407"/>
      <c r="AF37" s="409"/>
      <c r="AG37" s="409"/>
      <c r="AH37" s="393"/>
      <c r="AI37" s="403"/>
      <c r="AJ37" s="549"/>
      <c r="AK37" s="550"/>
      <c r="AL37" s="550"/>
      <c r="AM37" s="551"/>
      <c r="AN37" s="507"/>
    </row>
    <row r="38" spans="1:40" s="567" customFormat="1" ht="27" customHeight="1" thickBot="1">
      <c r="A38" s="555">
        <v>15.435714285714299</v>
      </c>
      <c r="B38" s="557"/>
      <c r="C38" s="555"/>
      <c r="D38" s="742"/>
      <c r="E38" s="556"/>
      <c r="F38" s="556"/>
      <c r="G38" s="558"/>
      <c r="H38" s="670"/>
      <c r="I38" s="559"/>
      <c r="J38" s="560"/>
      <c r="K38" s="560"/>
      <c r="L38" s="561"/>
      <c r="M38" s="561"/>
      <c r="N38" s="560"/>
      <c r="O38" s="562"/>
      <c r="P38" s="563"/>
      <c r="Q38" s="684"/>
      <c r="R38" s="759"/>
      <c r="S38" s="760"/>
      <c r="T38" s="760"/>
      <c r="U38" s="761"/>
      <c r="V38" s="394"/>
      <c r="W38" s="410"/>
      <c r="X38" s="412"/>
      <c r="Y38" s="390"/>
      <c r="Z38" s="388"/>
      <c r="AA38" s="666"/>
      <c r="AB38" s="588"/>
      <c r="AC38" s="588"/>
      <c r="AD38" s="614"/>
      <c r="AE38" s="408"/>
      <c r="AF38" s="410"/>
      <c r="AG38" s="410"/>
      <c r="AH38" s="395"/>
      <c r="AI38" s="404"/>
      <c r="AJ38" s="564"/>
      <c r="AK38" s="565"/>
      <c r="AL38" s="565"/>
      <c r="AM38" s="566"/>
      <c r="AN38" s="680"/>
    </row>
    <row r="39" spans="1:40" s="567" customFormat="1" ht="27" customHeight="1">
      <c r="A39" s="616">
        <v>9</v>
      </c>
      <c r="B39" s="732">
        <v>45536</v>
      </c>
      <c r="C39" s="617">
        <v>120000057488</v>
      </c>
      <c r="D39" s="739" t="s">
        <v>274</v>
      </c>
      <c r="E39" s="618" t="s">
        <v>74</v>
      </c>
      <c r="F39" s="618" t="s">
        <v>45</v>
      </c>
      <c r="G39" s="619"/>
      <c r="H39" s="733" t="s">
        <v>214</v>
      </c>
      <c r="I39" s="622">
        <v>45505</v>
      </c>
      <c r="J39" s="620">
        <v>5000</v>
      </c>
      <c r="K39" s="620">
        <v>0</v>
      </c>
      <c r="L39" s="590" t="s">
        <v>186</v>
      </c>
      <c r="M39" s="591">
        <f>IF(Table1351452010[[#This Row],[หัก ณ ที่จ่าย
(ค่าบริการ)]]="มี",Table1351452010[[#This Row],[ค่าบริการเฉลี่ยต่อเดือน]]*3%,0)</f>
        <v>150</v>
      </c>
      <c r="N39" s="534">
        <f>Table1351452010[[#This Row],[ค่าบริการเฉลี่ยต่อเดือน]]-Table1351452010[[#This Row],[มูลค่าหัก 3%]]</f>
        <v>4850</v>
      </c>
      <c r="O39" s="535">
        <f>Table1351452010[[#This Row],[ค่าบริการเฉลียรายเดือนตาม Package
(เรียกเก็บสุทธิ)]]</f>
        <v>4850</v>
      </c>
      <c r="P39" s="735"/>
      <c r="Q39" s="737">
        <f>Table1351452010[[#This Row],[Total
รายการเบิก
คอมขาย
(1)]]</f>
        <v>4850</v>
      </c>
      <c r="R39" s="752"/>
      <c r="S39" s="738"/>
      <c r="T39" s="738"/>
      <c r="U39" s="762"/>
      <c r="V39" s="621">
        <v>0</v>
      </c>
      <c r="W39" s="593"/>
      <c r="X39" s="594">
        <f>IF(Table1351452010[[#This Row],[หัก ณ ที่จ่าย
(ค่าติตั้ง)]]="มี",Table1351452010[[#This Row],[ค่าเชื่อมสัญญาณ/
ค่าติดตั้ง/
ค่าขายอุปกรณ์]]*$X$3,0)</f>
        <v>0</v>
      </c>
      <c r="Y39" s="396">
        <f>Table1351452010[[#This Row],[ค่าเชื่อมสัญญาณ/
ค่าติดตั้ง/
ค่าขายอุปกรณ์]]-Table1351452010[[#This Row],[มูลค่าหัก 3%
(ค่าติดตั้ง)]]</f>
        <v>0</v>
      </c>
      <c r="Z39" s="331"/>
      <c r="AA39" s="664">
        <f>Table1351452010[[#This Row],[ค่าเชื่อมสัญญาณ/
ค่าติดตั้ง/
ค่าขายอุปกรณ์
(เรียกเก็บสุทธิ)]]-Table1351452010[[#This Row],[ต้นทุน]]</f>
        <v>0</v>
      </c>
      <c r="AB39" s="536" t="str">
        <f>IF(Table1351452010[[#This Row],[ส่วนต่างกำไร]]&lt;(Table1351452010[[#This Row],[ต้นทุน]]*5%),Table1351452010[[#This Row],[ค่าเชื่อมสัญญาณ/
ค่าติดตั้ง/
ค่าขายอุปกรณ์
(เรียกเก็บสุทธิ)]]*$AB$3,"0")</f>
        <v>0</v>
      </c>
      <c r="AC39" s="536">
        <f>IF(Table1351452010[[#This Row],[ส่วนต่างกำไร]]&gt;=(Table1351452010[[#This Row],[ต้นทุน]]*5%),Table1351452010[[#This Row],[ค่าเชื่อมสัญญาณ/
ค่าติดตั้ง/
ค่าขายอุปกรณ์
(เรียกเก็บสุทธิ)]]*$AC$3,"0")</f>
        <v>0</v>
      </c>
      <c r="AD39" s="611">
        <f>SUM(Table1351452010[[#This Row],[คอมฯ
 5%]:[คอมฯ
10%]])</f>
        <v>0</v>
      </c>
      <c r="AE39" s="623"/>
      <c r="AF39" s="593"/>
      <c r="AG39" s="615">
        <f>IF(Table1351452010[[#This Row],[หัก ณ ที่จ่าย
(ค่าเชื่อมสัญญาณ)]]="มี",Table1351452010[[#This Row],[ค่าเชื่อมสัญญาณ]]*$AG$3,0)</f>
        <v>0</v>
      </c>
      <c r="AH39" s="397">
        <f>Table1351452010[[#This Row],[ค่าเชื่อมสัญญาณ]]-Table1351452010[[#This Row],[มูลค่าหัก 3%
(ค่าเชื่อมสัญญาณ)]]</f>
        <v>0</v>
      </c>
      <c r="AI39" s="402">
        <f>Table1351452010[[#This Row],[ค่าเชื่อมสัญญาณ
(เรียกเก็บสุทธิ)]]*$AI$4</f>
        <v>0</v>
      </c>
      <c r="AJ39" s="537">
        <f>Table1351452010[[#This Row],[ปีที่1
(ทำจ่ายรอบ 3/2025)]]+Table1351452010[[#This Row],[Total
ค่าเชื่มสัญญาณ/ค่าติดตั้ง/
ค่าขายอุปกรณ์
(2)]]+Table1351452010[[#This Row],[Total 
คอมฯค่าเชื่อมสัญญาณ
(3)]]</f>
        <v>4850</v>
      </c>
      <c r="AK39" s="538" t="s">
        <v>277</v>
      </c>
      <c r="AL39" s="538" t="s">
        <v>276</v>
      </c>
      <c r="AM39" s="539" t="s">
        <v>208</v>
      </c>
      <c r="AN39" s="507" t="s">
        <v>242</v>
      </c>
    </row>
    <row r="40" spans="1:40" s="567" customFormat="1" ht="27" customHeight="1">
      <c r="A40" s="720" t="s">
        <v>216</v>
      </c>
      <c r="B40" s="543"/>
      <c r="C40" s="541"/>
      <c r="D40" s="740" t="s">
        <v>275</v>
      </c>
      <c r="E40" s="542"/>
      <c r="F40" s="542"/>
      <c r="G40" s="568"/>
      <c r="H40" s="669"/>
      <c r="I40" s="544"/>
      <c r="J40" s="542"/>
      <c r="K40" s="542"/>
      <c r="L40" s="545"/>
      <c r="M40" s="545"/>
      <c r="N40" s="546"/>
      <c r="O40" s="547"/>
      <c r="P40" s="548"/>
      <c r="Q40" s="682"/>
      <c r="R40" s="753"/>
      <c r="S40" s="754"/>
      <c r="T40" s="754"/>
      <c r="U40" s="755"/>
      <c r="V40" s="391"/>
      <c r="W40" s="409"/>
      <c r="X40" s="411"/>
      <c r="Y40" s="389"/>
      <c r="Z40" s="392"/>
      <c r="AA40" s="665" t="e">
        <f t="shared" ref="AA40" si="8">AA39/Z39</f>
        <v>#DIV/0!</v>
      </c>
      <c r="AB40" s="587"/>
      <c r="AC40" s="587"/>
      <c r="AD40" s="612"/>
      <c r="AE40" s="406"/>
      <c r="AF40" s="409"/>
      <c r="AG40" s="409"/>
      <c r="AH40" s="393"/>
      <c r="AI40" s="403"/>
      <c r="AJ40" s="549"/>
      <c r="AK40" s="550"/>
      <c r="AL40" s="550"/>
      <c r="AM40" s="551"/>
      <c r="AN40" s="507"/>
    </row>
    <row r="41" spans="1:40" s="567" customFormat="1" ht="27" customHeight="1">
      <c r="A41" s="540">
        <v>23.8857142857143</v>
      </c>
      <c r="B41" s="543"/>
      <c r="C41" s="540"/>
      <c r="D41" s="744"/>
      <c r="E41" s="552"/>
      <c r="F41" s="552"/>
      <c r="G41" s="568"/>
      <c r="H41" s="669"/>
      <c r="I41" s="544"/>
      <c r="J41" s="542"/>
      <c r="K41" s="542"/>
      <c r="L41" s="545"/>
      <c r="M41" s="545"/>
      <c r="N41" s="542"/>
      <c r="O41" s="553"/>
      <c r="P41" s="554"/>
      <c r="Q41" s="683"/>
      <c r="R41" s="756"/>
      <c r="S41" s="757"/>
      <c r="T41" s="757"/>
      <c r="U41" s="758"/>
      <c r="V41" s="391"/>
      <c r="W41" s="409"/>
      <c r="X41" s="411"/>
      <c r="Y41" s="389"/>
      <c r="Z41" s="392"/>
      <c r="AA41" s="392"/>
      <c r="AB41" s="587"/>
      <c r="AC41" s="587"/>
      <c r="AD41" s="613"/>
      <c r="AE41" s="407"/>
      <c r="AF41" s="409"/>
      <c r="AG41" s="409"/>
      <c r="AH41" s="393"/>
      <c r="AI41" s="403"/>
      <c r="AJ41" s="549"/>
      <c r="AK41" s="550"/>
      <c r="AL41" s="550"/>
      <c r="AM41" s="551"/>
      <c r="AN41" s="507"/>
    </row>
    <row r="42" spans="1:40" s="567" customFormat="1" ht="27" customHeight="1" thickBot="1">
      <c r="A42" s="555">
        <v>25.092857142857198</v>
      </c>
      <c r="B42" s="557"/>
      <c r="C42" s="555"/>
      <c r="D42" s="745"/>
      <c r="E42" s="556"/>
      <c r="F42" s="556"/>
      <c r="G42" s="558"/>
      <c r="H42" s="670"/>
      <c r="I42" s="559"/>
      <c r="J42" s="560"/>
      <c r="K42" s="560"/>
      <c r="L42" s="561"/>
      <c r="M42" s="561"/>
      <c r="N42" s="560"/>
      <c r="O42" s="562"/>
      <c r="P42" s="563"/>
      <c r="Q42" s="684"/>
      <c r="R42" s="759"/>
      <c r="S42" s="760"/>
      <c r="T42" s="760"/>
      <c r="U42" s="761"/>
      <c r="V42" s="394"/>
      <c r="W42" s="410"/>
      <c r="X42" s="412"/>
      <c r="Y42" s="390"/>
      <c r="Z42" s="388"/>
      <c r="AA42" s="666"/>
      <c r="AB42" s="588"/>
      <c r="AC42" s="588"/>
      <c r="AD42" s="614"/>
      <c r="AE42" s="408"/>
      <c r="AF42" s="410"/>
      <c r="AG42" s="410"/>
      <c r="AH42" s="395"/>
      <c r="AI42" s="404"/>
      <c r="AJ42" s="564"/>
      <c r="AK42" s="565"/>
      <c r="AL42" s="565"/>
      <c r="AM42" s="566"/>
      <c r="AN42" s="680"/>
    </row>
    <row r="43" spans="1:40" s="567" customFormat="1" ht="27" customHeight="1">
      <c r="A43" s="616">
        <v>10</v>
      </c>
      <c r="B43" s="732">
        <v>45536</v>
      </c>
      <c r="C43" s="617">
        <v>120000069052</v>
      </c>
      <c r="D43" s="739" t="s">
        <v>281</v>
      </c>
      <c r="E43" s="618" t="s">
        <v>70</v>
      </c>
      <c r="F43" s="618" t="s">
        <v>45</v>
      </c>
      <c r="G43" s="619"/>
      <c r="H43" s="733" t="s">
        <v>214</v>
      </c>
      <c r="I43" s="622">
        <v>45689</v>
      </c>
      <c r="J43" s="620">
        <v>46440</v>
      </c>
      <c r="K43" s="620">
        <v>0</v>
      </c>
      <c r="L43" s="590" t="s">
        <v>186</v>
      </c>
      <c r="M43" s="591">
        <f>IF(Table1351452010[[#This Row],[หัก ณ ที่จ่าย
(ค่าบริการ)]]="มี",Table1351452010[[#This Row],[ค่าบริการเฉลี่ยต่อเดือน]]*3%,0)</f>
        <v>1393.2</v>
      </c>
      <c r="N43" s="534">
        <f>Table1351452010[[#This Row],[ค่าบริการเฉลี่ยต่อเดือน]]-Table1351452010[[#This Row],[มูลค่าหัก 3%]]</f>
        <v>45046.8</v>
      </c>
      <c r="O43" s="535">
        <f>Table1351452010[[#This Row],[ค่าบริการเฉลียรายเดือนตาม Package
(เรียกเก็บสุทธิ)]]</f>
        <v>45046.8</v>
      </c>
      <c r="P43" s="735"/>
      <c r="Q43" s="737">
        <f>Table1351452010[[#This Row],[Total
รายการเบิก
คอมขาย
(1)]]</f>
        <v>45046.8</v>
      </c>
      <c r="R43" s="752"/>
      <c r="S43" s="738"/>
      <c r="T43" s="738"/>
      <c r="U43" s="762"/>
      <c r="V43" s="621">
        <v>15000</v>
      </c>
      <c r="W43" s="772" t="s">
        <v>186</v>
      </c>
      <c r="X43" s="774">
        <f>IF(Table1351452010[[#This Row],[หัก ณ ที่จ่าย
(ค่าติตั้ง)]]="มี",Table1351452010[[#This Row],[ค่าเชื่อมสัญญาณ/
ค่าติดตั้ง/
ค่าขายอุปกรณ์]]*$X$3,0)</f>
        <v>450</v>
      </c>
      <c r="Y43" s="776">
        <f>Table1351452010[[#This Row],[ค่าเชื่อมสัญญาณ/
ค่าติดตั้ง/
ค่าขายอุปกรณ์]]-Table1351452010[[#This Row],[มูลค่าหัก 3%
(ค่าติดตั้ง)]]</f>
        <v>14550</v>
      </c>
      <c r="Z43" s="331">
        <v>80706.5</v>
      </c>
      <c r="AA43" s="664">
        <f>Table1351452010[[#This Row],[ค่าเชื่อมสัญญาณ/
ค่าติดตั้ง/
ค่าขายอุปกรณ์
(เรียกเก็บสุทธิ)]]-Table1351452010[[#This Row],[ต้นทุน]]</f>
        <v>-66156.5</v>
      </c>
      <c r="AB43" s="536">
        <f>IF(Table1351452010[[#This Row],[ส่วนต่างกำไร]]&lt;(Table1351452010[[#This Row],[ต้นทุน]]*5%),Y45*$AB$3,"0")</f>
        <v>1025</v>
      </c>
      <c r="AC43" s="536" t="str">
        <f>IF(Table1351452010[[#This Row],[ส่วนต่างกำไร]]&gt;=(Table1351452010[[#This Row],[ต้นทุน]]*5%),Table1351452010[[#This Row],[ค่าเชื่อมสัญญาณ/
ค่าติดตั้ง/
ค่าขายอุปกรณ์
(เรียกเก็บสุทธิ)]]*$AC$3,"0")</f>
        <v>0</v>
      </c>
      <c r="AD43" s="611">
        <f>SUM(Table1351452010[[#This Row],[คอมฯ
 5%]:[คอมฯ
10%]])</f>
        <v>1025</v>
      </c>
      <c r="AE43" s="623"/>
      <c r="AF43" s="593"/>
      <c r="AG43" s="615">
        <f>IF(Table1351452010[[#This Row],[หัก ณ ที่จ่าย
(ค่าเชื่อมสัญญาณ)]]="มี",Table1351452010[[#This Row],[ค่าเชื่อมสัญญาณ]]*$AG$3,0)</f>
        <v>0</v>
      </c>
      <c r="AH43" s="397">
        <f>Table1351452010[[#This Row],[ค่าเชื่อมสัญญาณ]]-Table1351452010[[#This Row],[มูลค่าหัก 3%
(ค่าเชื่อมสัญญาณ)]]</f>
        <v>0</v>
      </c>
      <c r="AI43" s="402">
        <f>Table1351452010[[#This Row],[ค่าเชื่อมสัญญาณ
(เรียกเก็บสุทธิ)]]*$AI$4</f>
        <v>0</v>
      </c>
      <c r="AJ43" s="537">
        <f>Table1351452010[[#This Row],[ปีที่1
(ทำจ่ายรอบ 3/2025)]]+Table1351452010[[#This Row],[Total
ค่าเชื่มสัญญาณ/ค่าติดตั้ง/
ค่าขายอุปกรณ์
(2)]]+Table1351452010[[#This Row],[Total 
คอมฯค่าเชื่อมสัญญาณ
(3)]]</f>
        <v>46071.8</v>
      </c>
      <c r="AK43" s="538" t="s">
        <v>279</v>
      </c>
      <c r="AL43" s="538" t="s">
        <v>278</v>
      </c>
      <c r="AM43" s="539" t="s">
        <v>280</v>
      </c>
      <c r="AN43" s="507" t="s">
        <v>242</v>
      </c>
    </row>
    <row r="44" spans="1:40" s="567" customFormat="1" ht="27" customHeight="1">
      <c r="A44" s="720" t="s">
        <v>216</v>
      </c>
      <c r="B44" s="543"/>
      <c r="C44" s="541"/>
      <c r="D44" s="740" t="s">
        <v>282</v>
      </c>
      <c r="E44" s="542"/>
      <c r="F44" s="542"/>
      <c r="G44" s="568"/>
      <c r="H44" s="669"/>
      <c r="I44" s="544"/>
      <c r="J44" s="542"/>
      <c r="K44" s="542"/>
      <c r="L44" s="545"/>
      <c r="M44" s="545"/>
      <c r="N44" s="546"/>
      <c r="O44" s="547"/>
      <c r="P44" s="548"/>
      <c r="Q44" s="682"/>
      <c r="R44" s="753"/>
      <c r="S44" s="754"/>
      <c r="T44" s="754"/>
      <c r="U44" s="755"/>
      <c r="V44" s="391"/>
      <c r="W44" s="797"/>
      <c r="X44" s="798"/>
      <c r="Y44" s="799"/>
      <c r="Z44" s="392"/>
      <c r="AA44" s="665">
        <f>AA43/Z43</f>
        <v>-0.81971712315612744</v>
      </c>
      <c r="AB44" s="803"/>
      <c r="AC44" s="803"/>
      <c r="AD44" s="807"/>
      <c r="AE44" s="406"/>
      <c r="AF44" s="409"/>
      <c r="AG44" s="409"/>
      <c r="AH44" s="393"/>
      <c r="AI44" s="403"/>
      <c r="AJ44" s="805"/>
      <c r="AK44" s="550"/>
      <c r="AL44" s="550"/>
      <c r="AM44" s="551"/>
      <c r="AN44" s="507"/>
    </row>
    <row r="45" spans="1:40" s="567" customFormat="1" ht="27" customHeight="1">
      <c r="A45" s="540">
        <v>23.8857142857143</v>
      </c>
      <c r="B45" s="543"/>
      <c r="C45" s="540"/>
      <c r="D45" s="744" t="s">
        <v>290</v>
      </c>
      <c r="E45" s="552"/>
      <c r="F45" s="552"/>
      <c r="G45" s="568"/>
      <c r="H45" s="669"/>
      <c r="I45" s="544"/>
      <c r="J45" s="542"/>
      <c r="K45" s="542"/>
      <c r="L45" s="545"/>
      <c r="M45" s="545"/>
      <c r="N45" s="542"/>
      <c r="O45" s="553"/>
      <c r="P45" s="554"/>
      <c r="Q45" s="683"/>
      <c r="R45" s="756"/>
      <c r="S45" s="757"/>
      <c r="T45" s="757"/>
      <c r="U45" s="758"/>
      <c r="V45" s="391">
        <v>20500</v>
      </c>
      <c r="W45" s="773" t="s">
        <v>187</v>
      </c>
      <c r="X45" s="775">
        <f>IF(Table1351452010[[#This Row],[หัก ณ ที่จ่าย
(ค่าติตั้ง)]]="มี",Table1351452010[[#This Row],[ค่าเชื่อมสัญญาณ/
ค่าติดตั้ง/
ค่าขายอุปกรณ์]]*$X$3,0)</f>
        <v>0</v>
      </c>
      <c r="Y45" s="777">
        <f>Table1351452010[[#This Row],[ค่าเชื่อมสัญญาณ/
ค่าติดตั้ง/
ค่าขายอุปกรณ์]]-Table1351452010[[#This Row],[มูลค่าหัก 3%
(ค่าติดตั้ง)]]</f>
        <v>20500</v>
      </c>
      <c r="Z45" s="392">
        <v>11800</v>
      </c>
      <c r="AA45" s="800">
        <f>Table1351452010[[#This Row],[ค่าเชื่อมสัญญาณ/
ค่าติดตั้ง/
ค่าขายอุปกรณ์
(เรียกเก็บสุทธิ)]]-Table1351452010[[#This Row],[ต้นทุน]]</f>
        <v>8700</v>
      </c>
      <c r="AB45" s="802" t="str">
        <f>IF(Table1351452010[[#This Row],[ส่วนต่างกำไร]]&lt;(Table1351452010[[#This Row],[ต้นทุน]]*5%),Y45*$AB$3,"0")</f>
        <v>0</v>
      </c>
      <c r="AC45" s="802">
        <f>IF(Table1351452010[[#This Row],[ส่วนต่างกำไร]]&gt;=(Table1351452010[[#This Row],[ต้นทุน]]*5%),Table1351452010[[#This Row],[ค่าเชื่อมสัญญาณ/
ค่าติดตั้ง/
ค่าขายอุปกรณ์
(เรียกเก็บสุทธิ)]]*$AC$3,"0")</f>
        <v>2050</v>
      </c>
      <c r="AD45" s="806">
        <f>SUM(Table1351452010[[#This Row],[คอมฯ
 5%]:[คอมฯ
10%]])</f>
        <v>2050</v>
      </c>
      <c r="AE45" s="407"/>
      <c r="AF45" s="409"/>
      <c r="AG45" s="409"/>
      <c r="AH45" s="393"/>
      <c r="AI45" s="403"/>
      <c r="AJ45" s="804">
        <f>Table1351452010[[#This Row],[ปีที่1
(ทำจ่ายรอบ 3/2025)]]+Table1351452010[[#This Row],[Total
ค่าเชื่มสัญญาณ/ค่าติดตั้ง/
ค่าขายอุปกรณ์
(2)]]+Table1351452010[[#This Row],[Total 
คอมฯค่าเชื่อมสัญญาณ
(3)]]</f>
        <v>2050</v>
      </c>
      <c r="AK45" s="550"/>
      <c r="AL45" s="550"/>
      <c r="AM45" s="551"/>
      <c r="AN45" s="507"/>
    </row>
    <row r="46" spans="1:40" s="567" customFormat="1" ht="27" customHeight="1" thickBot="1">
      <c r="A46" s="555">
        <v>25.092857142857198</v>
      </c>
      <c r="B46" s="557"/>
      <c r="C46" s="555"/>
      <c r="D46" s="745" t="s">
        <v>289</v>
      </c>
      <c r="E46" s="556"/>
      <c r="F46" s="556"/>
      <c r="G46" s="558"/>
      <c r="H46" s="670"/>
      <c r="I46" s="559"/>
      <c r="J46" s="560"/>
      <c r="K46" s="560"/>
      <c r="L46" s="561"/>
      <c r="M46" s="561"/>
      <c r="N46" s="560"/>
      <c r="O46" s="562"/>
      <c r="P46" s="563"/>
      <c r="Q46" s="684"/>
      <c r="R46" s="759"/>
      <c r="S46" s="760"/>
      <c r="T46" s="760"/>
      <c r="U46" s="761"/>
      <c r="V46" s="394"/>
      <c r="W46" s="410"/>
      <c r="X46" s="412"/>
      <c r="Y46" s="390"/>
      <c r="Z46" s="388"/>
      <c r="AA46" s="801">
        <f>AA45/Z45</f>
        <v>0.73728813559322037</v>
      </c>
      <c r="AB46" s="588"/>
      <c r="AC46" s="588"/>
      <c r="AD46" s="614"/>
      <c r="AE46" s="408"/>
      <c r="AF46" s="410"/>
      <c r="AG46" s="410"/>
      <c r="AH46" s="395"/>
      <c r="AI46" s="404"/>
      <c r="AJ46" s="564"/>
      <c r="AK46" s="565"/>
      <c r="AL46" s="565"/>
      <c r="AM46" s="566"/>
      <c r="AN46" s="680"/>
    </row>
    <row r="47" spans="1:40" s="567" customFormat="1" ht="27" customHeight="1">
      <c r="A47" s="616">
        <v>11</v>
      </c>
      <c r="B47" s="732">
        <v>45474</v>
      </c>
      <c r="C47" s="617">
        <v>120000058331</v>
      </c>
      <c r="D47" s="739" t="s">
        <v>233</v>
      </c>
      <c r="E47" s="618" t="s">
        <v>72</v>
      </c>
      <c r="F47" s="618" t="s">
        <v>155</v>
      </c>
      <c r="G47" s="619"/>
      <c r="H47" s="733" t="s">
        <v>214</v>
      </c>
      <c r="I47" s="622" t="s">
        <v>234</v>
      </c>
      <c r="J47" s="620">
        <v>0</v>
      </c>
      <c r="K47" s="620">
        <v>0</v>
      </c>
      <c r="L47" s="590"/>
      <c r="M47" s="591">
        <f>IF(Table1351452010[[#This Row],[หัก ณ ที่จ่าย
(ค่าบริการ)]]="มี",Table1351452010[[#This Row],[ค่าบริการเฉลี่ยต่อเดือน]]*3%,0)</f>
        <v>0</v>
      </c>
      <c r="N47" s="534">
        <f>Table1351452010[[#This Row],[ค่าบริการเฉลี่ยต่อเดือน]]-Table1351452010[[#This Row],[มูลค่าหัก 3%]]</f>
        <v>0</v>
      </c>
      <c r="O47" s="535">
        <f>Table1351452010[[#This Row],[ค่าบริการเฉลียรายเดือนตาม Package
(เรียกเก็บสุทธิ)]]</f>
        <v>0</v>
      </c>
      <c r="P47" s="735"/>
      <c r="Q47" s="737">
        <v>0</v>
      </c>
      <c r="R47" s="752"/>
      <c r="S47" s="738"/>
      <c r="T47" s="738"/>
      <c r="U47" s="762"/>
      <c r="V47" s="621">
        <v>3600</v>
      </c>
      <c r="W47" s="593"/>
      <c r="X47" s="594">
        <f>IF(Table1351452010[[#This Row],[หัก ณ ที่จ่าย
(ค่าติตั้ง)]]="มี",Table1351452010[[#This Row],[ค่าเชื่อมสัญญาณ/
ค่าติดตั้ง/
ค่าขายอุปกรณ์]]*$X$3,0)</f>
        <v>0</v>
      </c>
      <c r="Y47" s="396">
        <f>Table1351452010[[#This Row],[ค่าเชื่อมสัญญาณ/
ค่าติดตั้ง/
ค่าขายอุปกรณ์]]-Table1351452010[[#This Row],[มูลค่าหัก 3%
(ค่าติดตั้ง)]]</f>
        <v>3600</v>
      </c>
      <c r="Z47" s="331">
        <v>110.17</v>
      </c>
      <c r="AA47" s="664">
        <f>Table1351452010[[#This Row],[ค่าเชื่อมสัญญาณ/
ค่าติดตั้ง/
ค่าขายอุปกรณ์
(เรียกเก็บสุทธิ)]]-Table1351452010[[#This Row],[ต้นทุน]]</f>
        <v>3489.83</v>
      </c>
      <c r="AB47" s="536" t="str">
        <f>IF(Table1351452010[[#This Row],[ส่วนต่างกำไร]]&lt;(Table1351452010[[#This Row],[ต้นทุน]]*5%),Table1351452010[[#This Row],[ค่าเชื่อมสัญญาณ/
ค่าติดตั้ง/
ค่าขายอุปกรณ์
(เรียกเก็บสุทธิ)]]*$AB$3,"0")</f>
        <v>0</v>
      </c>
      <c r="AC47" s="536">
        <f>IF(Table1351452010[[#This Row],[ส่วนต่างกำไร]]&gt;=(Table1351452010[[#This Row],[ต้นทุน]]*5%),Table1351452010[[#This Row],[ค่าเชื่อมสัญญาณ/
ค่าติดตั้ง/
ค่าขายอุปกรณ์
(เรียกเก็บสุทธิ)]]*$AC$3,"0")</f>
        <v>360</v>
      </c>
      <c r="AD47" s="611">
        <f>SUM(Table1351452010[[#This Row],[คอมฯ
 5%]:[คอมฯ
10%]])</f>
        <v>360</v>
      </c>
      <c r="AE47" s="623"/>
      <c r="AF47" s="593"/>
      <c r="AG47" s="615">
        <f>IF(Table1351452010[[#This Row],[หัก ณ ที่จ่าย
(ค่าเชื่อมสัญญาณ)]]="มี",Table1351452010[[#This Row],[ค่าเชื่อมสัญญาณ]]*$AG$3,0)</f>
        <v>0</v>
      </c>
      <c r="AH47" s="397">
        <f>Table1351452010[[#This Row],[ค่าเชื่อมสัญญาณ]]-Table1351452010[[#This Row],[มูลค่าหัก 3%
(ค่าเชื่อมสัญญาณ)]]</f>
        <v>0</v>
      </c>
      <c r="AI47" s="402">
        <f>Table1351452010[[#This Row],[ค่าเชื่อมสัญญาณ
(เรียกเก็บสุทธิ)]]*$AI$4</f>
        <v>0</v>
      </c>
      <c r="AJ47" s="537">
        <f>Table1351452010[[#This Row],[ปีที่1
(ทำจ่ายรอบ 3/2025)]]+Table1351452010[[#This Row],[Total
ค่าเชื่มสัญญาณ/ค่าติดตั้ง/
ค่าขายอุปกรณ์
(2)]]+Table1351452010[[#This Row],[Total 
คอมฯค่าเชื่อมสัญญาณ
(3)]]</f>
        <v>360</v>
      </c>
      <c r="AK47" s="538" t="s">
        <v>237</v>
      </c>
      <c r="AL47" s="538" t="s">
        <v>273</v>
      </c>
      <c r="AM47" s="539" t="s">
        <v>107</v>
      </c>
      <c r="AN47" s="507" t="s">
        <v>242</v>
      </c>
    </row>
    <row r="48" spans="1:40" s="567" customFormat="1" ht="27" customHeight="1">
      <c r="A48" s="720" t="s">
        <v>217</v>
      </c>
      <c r="B48" s="543"/>
      <c r="C48" s="541"/>
      <c r="D48" s="740" t="s">
        <v>228</v>
      </c>
      <c r="E48" s="542"/>
      <c r="F48" s="542"/>
      <c r="G48" s="568"/>
      <c r="H48" s="669"/>
      <c r="I48" s="544"/>
      <c r="J48" s="542"/>
      <c r="K48" s="542"/>
      <c r="L48" s="545"/>
      <c r="M48" s="545"/>
      <c r="N48" s="546"/>
      <c r="O48" s="547"/>
      <c r="P48" s="548"/>
      <c r="Q48" s="682"/>
      <c r="R48" s="753"/>
      <c r="S48" s="754"/>
      <c r="T48" s="754"/>
      <c r="U48" s="755"/>
      <c r="V48" s="391"/>
      <c r="W48" s="409"/>
      <c r="X48" s="411"/>
      <c r="Y48" s="389"/>
      <c r="Z48" s="392"/>
      <c r="AA48" s="665">
        <f t="shared" ref="AA48" si="9">AA47/Z47</f>
        <v>31.676772261051102</v>
      </c>
      <c r="AB48" s="587"/>
      <c r="AC48" s="587"/>
      <c r="AD48" s="612"/>
      <c r="AE48" s="406"/>
      <c r="AF48" s="409"/>
      <c r="AG48" s="409"/>
      <c r="AH48" s="393"/>
      <c r="AI48" s="403"/>
      <c r="AJ48" s="549"/>
      <c r="AK48" s="550"/>
      <c r="AL48" s="550"/>
      <c r="AM48" s="551"/>
      <c r="AN48" s="507"/>
    </row>
    <row r="49" spans="1:40" s="567" customFormat="1" ht="27" customHeight="1">
      <c r="A49" s="540">
        <v>23.8857142857143</v>
      </c>
      <c r="B49" s="543"/>
      <c r="C49" s="540"/>
      <c r="D49" s="744"/>
      <c r="E49" s="552"/>
      <c r="F49" s="552"/>
      <c r="G49" s="568"/>
      <c r="H49" s="669"/>
      <c r="I49" s="544"/>
      <c r="J49" s="542"/>
      <c r="K49" s="542"/>
      <c r="L49" s="545"/>
      <c r="M49" s="545"/>
      <c r="N49" s="542"/>
      <c r="O49" s="553"/>
      <c r="P49" s="554"/>
      <c r="Q49" s="683"/>
      <c r="R49" s="756"/>
      <c r="S49" s="757"/>
      <c r="T49" s="757"/>
      <c r="U49" s="758"/>
      <c r="V49" s="391"/>
      <c r="W49" s="409"/>
      <c r="X49" s="411"/>
      <c r="Y49" s="389"/>
      <c r="Z49" s="392"/>
      <c r="AA49" s="392"/>
      <c r="AB49" s="587"/>
      <c r="AC49" s="587"/>
      <c r="AD49" s="613"/>
      <c r="AE49" s="407"/>
      <c r="AF49" s="409"/>
      <c r="AG49" s="409"/>
      <c r="AH49" s="393"/>
      <c r="AI49" s="403"/>
      <c r="AJ49" s="549"/>
      <c r="AK49" s="550"/>
      <c r="AL49" s="550"/>
      <c r="AM49" s="551"/>
      <c r="AN49" s="507"/>
    </row>
    <row r="50" spans="1:40" s="567" customFormat="1" ht="28.2" customHeight="1" thickBot="1">
      <c r="A50" s="555">
        <v>25.092857142857198</v>
      </c>
      <c r="B50" s="557"/>
      <c r="C50" s="555"/>
      <c r="D50" s="745"/>
      <c r="E50" s="556"/>
      <c r="F50" s="556"/>
      <c r="G50" s="558"/>
      <c r="H50" s="670"/>
      <c r="I50" s="559"/>
      <c r="J50" s="560"/>
      <c r="K50" s="560"/>
      <c r="L50" s="561"/>
      <c r="M50" s="561"/>
      <c r="N50" s="560"/>
      <c r="O50" s="562"/>
      <c r="P50" s="563"/>
      <c r="Q50" s="684"/>
      <c r="R50" s="759"/>
      <c r="S50" s="760"/>
      <c r="T50" s="760"/>
      <c r="U50" s="761"/>
      <c r="V50" s="394"/>
      <c r="W50" s="410"/>
      <c r="X50" s="412"/>
      <c r="Y50" s="390"/>
      <c r="Z50" s="388"/>
      <c r="AA50" s="666"/>
      <c r="AB50" s="588"/>
      <c r="AC50" s="588"/>
      <c r="AD50" s="614"/>
      <c r="AE50" s="408"/>
      <c r="AF50" s="410"/>
      <c r="AG50" s="410"/>
      <c r="AH50" s="395"/>
      <c r="AI50" s="404"/>
      <c r="AJ50" s="564"/>
      <c r="AK50" s="565"/>
      <c r="AL50" s="565"/>
      <c r="AM50" s="566"/>
      <c r="AN50" s="680"/>
    </row>
    <row r="51" spans="1:40" s="567" customFormat="1" ht="27" hidden="1" customHeight="1">
      <c r="A51" s="616"/>
      <c r="B51" s="732"/>
      <c r="C51" s="617"/>
      <c r="D51" s="739"/>
      <c r="E51" s="618"/>
      <c r="F51" s="618"/>
      <c r="G51" s="619"/>
      <c r="H51" s="733"/>
      <c r="I51" s="622"/>
      <c r="J51" s="620"/>
      <c r="K51" s="620"/>
      <c r="L51" s="590"/>
      <c r="M51" s="591">
        <f>IF(Table1351452010[[#This Row],[หัก ณ ที่จ่าย
(ค่าบริการ)]]="มี",Table1351452010[[#This Row],[ค่าบริการเฉลี่ยต่อเดือน]]*3%,0)</f>
        <v>0</v>
      </c>
      <c r="N51" s="534">
        <f>Table1351452010[[#This Row],[ค่าบริการเฉลี่ยต่อเดือน]]-Table1351452010[[#This Row],[มูลค่าหัก 3%]]</f>
        <v>0</v>
      </c>
      <c r="O51" s="535">
        <f>Table1351452010[[#This Row],[ค่าบริการเฉลียรายเดือนตาม Package
(เรียกเก็บสุทธิ)]]</f>
        <v>0</v>
      </c>
      <c r="P51" s="735"/>
      <c r="Q51" s="736"/>
      <c r="R51" s="752"/>
      <c r="S51" s="738"/>
      <c r="T51" s="738"/>
      <c r="U51" s="762"/>
      <c r="V51" s="621">
        <v>0</v>
      </c>
      <c r="W51" s="593"/>
      <c r="X51" s="594">
        <f>IF(Table1351452010[[#This Row],[หัก ณ ที่จ่าย
(ค่าติตั้ง)]]="มี",Table1351452010[[#This Row],[ค่าเชื่อมสัญญาณ/
ค่าติดตั้ง/
ค่าขายอุปกรณ์]]*$X$3,0)</f>
        <v>0</v>
      </c>
      <c r="Y51" s="396">
        <f>Table1351452010[[#This Row],[ค่าเชื่อมสัญญาณ/
ค่าติดตั้ง/
ค่าขายอุปกรณ์]]-Table1351452010[[#This Row],[มูลค่าหัก 3%
(ค่าติดตั้ง)]]</f>
        <v>0</v>
      </c>
      <c r="Z51" s="331"/>
      <c r="AA51" s="664">
        <f>Table1351452010[[#This Row],[ค่าเชื่อมสัญญาณ/
ค่าติดตั้ง/
ค่าขายอุปกรณ์
(เรียกเก็บสุทธิ)]]-Table1351452010[[#This Row],[ต้นทุน]]</f>
        <v>0</v>
      </c>
      <c r="AB51" s="536" t="str">
        <f>IF(Table1351452010[[#This Row],[ส่วนต่างกำไร]]&lt;(Table1351452010[[#This Row],[ต้นทุน]]*5%),Table1351452010[[#This Row],[ค่าเชื่อมสัญญาณ/
ค่าติดตั้ง/
ค่าขายอุปกรณ์
(เรียกเก็บสุทธิ)]]*$AB$3,"0")</f>
        <v>0</v>
      </c>
      <c r="AC51" s="536">
        <f>IF(Table1351452010[[#This Row],[ส่วนต่างกำไร]]&gt;=(Table1351452010[[#This Row],[ต้นทุน]]*5%),Table1351452010[[#This Row],[ค่าเชื่อมสัญญาณ/
ค่าติดตั้ง/
ค่าขายอุปกรณ์
(เรียกเก็บสุทธิ)]]*$AC$3,"0")</f>
        <v>0</v>
      </c>
      <c r="AD51" s="611">
        <f>SUM(Table1351452010[[#This Row],[คอมฯ
 5%]:[คอมฯ
10%]])</f>
        <v>0</v>
      </c>
      <c r="AE51" s="623"/>
      <c r="AF51" s="593"/>
      <c r="AG51" s="615">
        <f>IF(Table1351452010[[#This Row],[หัก ณ ที่จ่าย
(ค่าเชื่อมสัญญาณ)]]="มี",Table1351452010[[#This Row],[ค่าเชื่อมสัญญาณ]]*$AG$3,0)</f>
        <v>0</v>
      </c>
      <c r="AH51" s="397">
        <f>Table1351452010[[#This Row],[ค่าเชื่อมสัญญาณ]]-Table1351452010[[#This Row],[มูลค่าหัก 3%
(ค่าเชื่อมสัญญาณ)]]</f>
        <v>0</v>
      </c>
      <c r="AI51" s="402">
        <f>Table1351452010[[#This Row],[ค่าเชื่อมสัญญาณ
(เรียกเก็บสุทธิ)]]*$AI$4</f>
        <v>0</v>
      </c>
      <c r="AJ51" s="537">
        <f>Table1351452010[[#This Row],[ปีที่1
(ทำจ่ายรอบ 3/2025)]]+Table1351452010[[#This Row],[Total
ค่าเชื่มสัญญาณ/ค่าติดตั้ง/
ค่าขายอุปกรณ์
(2)]]+Table1351452010[[#This Row],[Total 
คอมฯค่าเชื่อมสัญญาณ
(3)]]</f>
        <v>0</v>
      </c>
      <c r="AK51" s="538"/>
      <c r="AL51" s="538"/>
      <c r="AM51" s="539"/>
      <c r="AN51" s="507"/>
    </row>
    <row r="52" spans="1:40" s="567" customFormat="1" ht="27" hidden="1" customHeight="1">
      <c r="A52" s="720"/>
      <c r="B52" s="543"/>
      <c r="C52" s="541"/>
      <c r="D52" s="740"/>
      <c r="E52" s="542"/>
      <c r="F52" s="542"/>
      <c r="G52" s="568"/>
      <c r="H52" s="669"/>
      <c r="I52" s="544"/>
      <c r="J52" s="542"/>
      <c r="K52" s="542"/>
      <c r="L52" s="545"/>
      <c r="M52" s="545"/>
      <c r="N52" s="546"/>
      <c r="O52" s="547"/>
      <c r="P52" s="548"/>
      <c r="Q52" s="682"/>
      <c r="R52" s="753"/>
      <c r="S52" s="754"/>
      <c r="T52" s="754"/>
      <c r="U52" s="755"/>
      <c r="V52" s="391"/>
      <c r="W52" s="409"/>
      <c r="X52" s="411"/>
      <c r="Y52" s="389"/>
      <c r="Z52" s="392"/>
      <c r="AA52" s="665" t="e">
        <f t="shared" ref="AA52" si="10">AA51/Z51</f>
        <v>#DIV/0!</v>
      </c>
      <c r="AB52" s="587"/>
      <c r="AC52" s="587"/>
      <c r="AD52" s="612"/>
      <c r="AE52" s="406"/>
      <c r="AF52" s="409"/>
      <c r="AG52" s="409"/>
      <c r="AH52" s="393"/>
      <c r="AI52" s="403"/>
      <c r="AJ52" s="549"/>
      <c r="AK52" s="550"/>
      <c r="AL52" s="550"/>
      <c r="AM52" s="551"/>
      <c r="AN52" s="507"/>
    </row>
    <row r="53" spans="1:40" s="567" customFormat="1" ht="27" hidden="1" customHeight="1">
      <c r="A53" s="540">
        <v>23.8857142857143</v>
      </c>
      <c r="B53" s="543"/>
      <c r="C53" s="540"/>
      <c r="D53" s="744"/>
      <c r="E53" s="552"/>
      <c r="F53" s="552"/>
      <c r="G53" s="568"/>
      <c r="H53" s="669"/>
      <c r="I53" s="544"/>
      <c r="J53" s="542"/>
      <c r="K53" s="542"/>
      <c r="L53" s="545"/>
      <c r="M53" s="545"/>
      <c r="N53" s="542"/>
      <c r="O53" s="553"/>
      <c r="P53" s="554"/>
      <c r="Q53" s="683"/>
      <c r="R53" s="756"/>
      <c r="S53" s="757"/>
      <c r="T53" s="757"/>
      <c r="U53" s="758"/>
      <c r="V53" s="391"/>
      <c r="W53" s="409"/>
      <c r="X53" s="411"/>
      <c r="Y53" s="389"/>
      <c r="Z53" s="392"/>
      <c r="AA53" s="392"/>
      <c r="AB53" s="587"/>
      <c r="AC53" s="587"/>
      <c r="AD53" s="613"/>
      <c r="AE53" s="407"/>
      <c r="AF53" s="409"/>
      <c r="AG53" s="409"/>
      <c r="AH53" s="393"/>
      <c r="AI53" s="403"/>
      <c r="AJ53" s="549"/>
      <c r="AK53" s="550"/>
      <c r="AL53" s="550"/>
      <c r="AM53" s="551"/>
      <c r="AN53" s="507"/>
    </row>
    <row r="54" spans="1:40" s="567" customFormat="1" ht="27" hidden="1" customHeight="1" thickBot="1">
      <c r="A54" s="555">
        <v>25.092857142857198</v>
      </c>
      <c r="B54" s="557"/>
      <c r="C54" s="555"/>
      <c r="D54" s="745"/>
      <c r="E54" s="556"/>
      <c r="F54" s="556"/>
      <c r="G54" s="558"/>
      <c r="H54" s="670"/>
      <c r="I54" s="559"/>
      <c r="J54" s="560"/>
      <c r="K54" s="560"/>
      <c r="L54" s="561"/>
      <c r="M54" s="561"/>
      <c r="N54" s="560"/>
      <c r="O54" s="562"/>
      <c r="P54" s="563"/>
      <c r="Q54" s="684"/>
      <c r="R54" s="759"/>
      <c r="S54" s="760"/>
      <c r="T54" s="760"/>
      <c r="U54" s="761"/>
      <c r="V54" s="394"/>
      <c r="W54" s="410"/>
      <c r="X54" s="412"/>
      <c r="Y54" s="390"/>
      <c r="Z54" s="388"/>
      <c r="AA54" s="666"/>
      <c r="AB54" s="588"/>
      <c r="AC54" s="588"/>
      <c r="AD54" s="614"/>
      <c r="AE54" s="408"/>
      <c r="AF54" s="410"/>
      <c r="AG54" s="410"/>
      <c r="AH54" s="395"/>
      <c r="AI54" s="404"/>
      <c r="AJ54" s="564"/>
      <c r="AK54" s="565"/>
      <c r="AL54" s="565"/>
      <c r="AM54" s="566"/>
      <c r="AN54" s="680"/>
    </row>
    <row r="55" spans="1:40" s="567" customFormat="1" ht="27" hidden="1" customHeight="1">
      <c r="A55" s="616"/>
      <c r="B55" s="732"/>
      <c r="C55" s="617"/>
      <c r="D55" s="739"/>
      <c r="E55" s="618"/>
      <c r="F55" s="618"/>
      <c r="G55" s="619"/>
      <c r="H55" s="733"/>
      <c r="I55" s="622"/>
      <c r="J55" s="620"/>
      <c r="K55" s="620"/>
      <c r="L55" s="590"/>
      <c r="M55" s="591">
        <f>IF(Table1351452010[[#This Row],[หัก ณ ที่จ่าย
(ค่าบริการ)]]="มี",Table1351452010[[#This Row],[ค่าบริการเฉลี่ยต่อเดือน]]*3%,0)</f>
        <v>0</v>
      </c>
      <c r="N55" s="534">
        <f>Table1351452010[[#This Row],[ค่าบริการเฉลี่ยต่อเดือน]]-Table1351452010[[#This Row],[มูลค่าหัก 3%]]</f>
        <v>0</v>
      </c>
      <c r="O55" s="535">
        <f>(Table1351452010[[#This Row],[ค่าบริการเฉลียรายเดือนตาม Package
(เรียกเก็บสุทธิ)]]*Table1351452010[[#This Row],[% ค่าคอมค่าบริการ
(อัตราก้าวหน้า)]])*Table1351452010[[#This Row],[ระยะเวลาสัญญา
(เดือน)]]</f>
        <v>0</v>
      </c>
      <c r="P55" s="735">
        <f>Table1351452010[[#This Row],[ระยะเวลาสัญญา
(เดือน)]]/$P$5</f>
        <v>0</v>
      </c>
      <c r="Q55" s="736"/>
      <c r="R55" s="752"/>
      <c r="S55" s="738"/>
      <c r="T55" s="738"/>
      <c r="U55" s="762"/>
      <c r="V55" s="621"/>
      <c r="W55" s="593"/>
      <c r="X55" s="594">
        <f>IF(Table1351452010[[#This Row],[หัก ณ ที่จ่าย
(ค่าติตั้ง)]]="มี",Table1351452010[[#This Row],[ค่าเชื่อมสัญญาณ/
ค่าติดตั้ง/
ค่าขายอุปกรณ์]]*$X$3,0)</f>
        <v>0</v>
      </c>
      <c r="Y55" s="396">
        <f>Table1351452010[[#This Row],[ค่าเชื่อมสัญญาณ/
ค่าติดตั้ง/
ค่าขายอุปกรณ์]]-Table1351452010[[#This Row],[มูลค่าหัก 3%
(ค่าติดตั้ง)]]</f>
        <v>0</v>
      </c>
      <c r="Z55" s="331"/>
      <c r="AA55" s="664">
        <f>Table1351452010[[#This Row],[ค่าเชื่อมสัญญาณ/
ค่าติดตั้ง/
ค่าขายอุปกรณ์
(เรียกเก็บสุทธิ)]]-Table1351452010[[#This Row],[ต้นทุน]]</f>
        <v>0</v>
      </c>
      <c r="AB55" s="536" t="str">
        <f>IF(Table1351452010[[#This Row],[ส่วนต่างกำไร]]&lt;(Table1351452010[[#This Row],[ต้นทุน]]*5%),Table1351452010[[#This Row],[ค่าเชื่อมสัญญาณ/
ค่าติดตั้ง/
ค่าขายอุปกรณ์
(เรียกเก็บสุทธิ)]]*$AB$3,"0")</f>
        <v>0</v>
      </c>
      <c r="AC55" s="536">
        <f>IF(Table1351452010[[#This Row],[ส่วนต่างกำไร]]&gt;=(Table1351452010[[#This Row],[ต้นทุน]]*5%),Table1351452010[[#This Row],[ค่าเชื่อมสัญญาณ/
ค่าติดตั้ง/
ค่าขายอุปกรณ์
(เรียกเก็บสุทธิ)]]*$AC$3,"0")</f>
        <v>0</v>
      </c>
      <c r="AD55" s="611">
        <f>SUM(Table1351452010[[#This Row],[คอมฯ
 5%]:[คอมฯ
10%]])</f>
        <v>0</v>
      </c>
      <c r="AE55" s="623"/>
      <c r="AF55" s="593"/>
      <c r="AG55" s="615">
        <f>IF(Table1351452010[[#This Row],[หัก ณ ที่จ่าย
(ค่าเชื่อมสัญญาณ)]]="มี",Table1351452010[[#This Row],[ค่าเชื่อมสัญญาณ]]*$AG$3,0)</f>
        <v>0</v>
      </c>
      <c r="AH55" s="397">
        <f>Table1351452010[[#This Row],[ค่าเชื่อมสัญญาณ]]-Table1351452010[[#This Row],[มูลค่าหัก 3%
(ค่าเชื่อมสัญญาณ)]]</f>
        <v>0</v>
      </c>
      <c r="AI55" s="402">
        <f>Table1351452010[[#This Row],[ค่าเชื่อมสัญญาณ
(เรียกเก็บสุทธิ)]]*$AI$4</f>
        <v>0</v>
      </c>
      <c r="AJ55" s="537">
        <f>Table1351452010[[#This Row],[ปีที่1
(ทำจ่ายรอบ 3/2025)]]+Table1351452010[[#This Row],[Total
ค่าเชื่มสัญญาณ/ค่าติดตั้ง/
ค่าขายอุปกรณ์
(2)]]+Table1351452010[[#This Row],[Total 
คอมฯค่าเชื่อมสัญญาณ
(3)]]</f>
        <v>0</v>
      </c>
      <c r="AK55" s="538"/>
      <c r="AL55" s="538"/>
      <c r="AM55" s="539"/>
      <c r="AN55" s="507"/>
    </row>
    <row r="56" spans="1:40" s="567" customFormat="1" ht="27" hidden="1" customHeight="1">
      <c r="A56" s="720"/>
      <c r="B56" s="543"/>
      <c r="C56" s="541"/>
      <c r="D56" s="740"/>
      <c r="E56" s="542"/>
      <c r="F56" s="542"/>
      <c r="G56" s="568"/>
      <c r="H56" s="669"/>
      <c r="I56" s="544"/>
      <c r="J56" s="542"/>
      <c r="K56" s="542"/>
      <c r="L56" s="545"/>
      <c r="M56" s="545"/>
      <c r="N56" s="546"/>
      <c r="O56" s="547"/>
      <c r="P56" s="548"/>
      <c r="Q56" s="682"/>
      <c r="R56" s="753"/>
      <c r="S56" s="754"/>
      <c r="T56" s="754"/>
      <c r="U56" s="755"/>
      <c r="V56" s="391"/>
      <c r="W56" s="409"/>
      <c r="X56" s="411"/>
      <c r="Y56" s="389"/>
      <c r="Z56" s="392"/>
      <c r="AA56" s="665" t="e">
        <f t="shared" ref="AA56" si="11">AA55/Z55</f>
        <v>#DIV/0!</v>
      </c>
      <c r="AB56" s="587"/>
      <c r="AC56" s="587"/>
      <c r="AD56" s="612"/>
      <c r="AE56" s="406"/>
      <c r="AF56" s="409"/>
      <c r="AG56" s="409"/>
      <c r="AH56" s="393"/>
      <c r="AI56" s="403"/>
      <c r="AJ56" s="549"/>
      <c r="AK56" s="550"/>
      <c r="AL56" s="550"/>
      <c r="AM56" s="551"/>
      <c r="AN56" s="507"/>
    </row>
    <row r="57" spans="1:40" s="567" customFormat="1" ht="27" hidden="1" customHeight="1">
      <c r="A57" s="540">
        <v>23.8857142857143</v>
      </c>
      <c r="B57" s="543"/>
      <c r="C57" s="540"/>
      <c r="D57" s="744"/>
      <c r="E57" s="552"/>
      <c r="F57" s="552"/>
      <c r="G57" s="568"/>
      <c r="H57" s="669"/>
      <c r="I57" s="544"/>
      <c r="J57" s="542"/>
      <c r="K57" s="542"/>
      <c r="L57" s="545"/>
      <c r="M57" s="545"/>
      <c r="N57" s="542"/>
      <c r="O57" s="553"/>
      <c r="P57" s="554"/>
      <c r="Q57" s="683"/>
      <c r="R57" s="756"/>
      <c r="S57" s="757"/>
      <c r="T57" s="757"/>
      <c r="U57" s="758"/>
      <c r="V57" s="391"/>
      <c r="W57" s="409"/>
      <c r="X57" s="411"/>
      <c r="Y57" s="389"/>
      <c r="Z57" s="392"/>
      <c r="AA57" s="392"/>
      <c r="AB57" s="587"/>
      <c r="AC57" s="587"/>
      <c r="AD57" s="613"/>
      <c r="AE57" s="407"/>
      <c r="AF57" s="409"/>
      <c r="AG57" s="409"/>
      <c r="AH57" s="393"/>
      <c r="AI57" s="403"/>
      <c r="AJ57" s="549"/>
      <c r="AK57" s="550"/>
      <c r="AL57" s="550"/>
      <c r="AM57" s="551"/>
      <c r="AN57" s="507"/>
    </row>
    <row r="58" spans="1:40" s="567" customFormat="1" ht="27" hidden="1" customHeight="1" thickBot="1">
      <c r="A58" s="555">
        <v>25.092857142857198</v>
      </c>
      <c r="B58" s="557"/>
      <c r="C58" s="555"/>
      <c r="D58" s="745"/>
      <c r="E58" s="556"/>
      <c r="F58" s="556"/>
      <c r="G58" s="558"/>
      <c r="H58" s="670"/>
      <c r="I58" s="559"/>
      <c r="J58" s="560"/>
      <c r="K58" s="560"/>
      <c r="L58" s="561"/>
      <c r="M58" s="561"/>
      <c r="N58" s="560"/>
      <c r="O58" s="562"/>
      <c r="P58" s="563"/>
      <c r="Q58" s="684"/>
      <c r="R58" s="759"/>
      <c r="S58" s="760"/>
      <c r="T58" s="760"/>
      <c r="U58" s="761"/>
      <c r="V58" s="394"/>
      <c r="W58" s="410"/>
      <c r="X58" s="412"/>
      <c r="Y58" s="390"/>
      <c r="Z58" s="388"/>
      <c r="AA58" s="666"/>
      <c r="AB58" s="588"/>
      <c r="AC58" s="588"/>
      <c r="AD58" s="614"/>
      <c r="AE58" s="408"/>
      <c r="AF58" s="410"/>
      <c r="AG58" s="410"/>
      <c r="AH58" s="395"/>
      <c r="AI58" s="404"/>
      <c r="AJ58" s="564"/>
      <c r="AK58" s="565"/>
      <c r="AL58" s="565"/>
      <c r="AM58" s="566"/>
      <c r="AN58" s="680"/>
    </row>
    <row r="59" spans="1:40" s="567" customFormat="1" ht="27" hidden="1" customHeight="1">
      <c r="A59" s="616"/>
      <c r="B59" s="732"/>
      <c r="C59" s="617"/>
      <c r="D59" s="739"/>
      <c r="E59" s="618"/>
      <c r="F59" s="618"/>
      <c r="G59" s="619"/>
      <c r="H59" s="733"/>
      <c r="I59" s="622"/>
      <c r="J59" s="620"/>
      <c r="K59" s="620"/>
      <c r="L59" s="590"/>
      <c r="M59" s="591">
        <f>IF(Table1351452010[[#This Row],[หัก ณ ที่จ่าย
(ค่าบริการ)]]="มี",Table1351452010[[#This Row],[ค่าบริการเฉลี่ยต่อเดือน]]*3%,0)</f>
        <v>0</v>
      </c>
      <c r="N59" s="534">
        <f>Table1351452010[[#This Row],[ค่าบริการเฉลี่ยต่อเดือน]]-Table1351452010[[#This Row],[มูลค่าหัก 3%]]</f>
        <v>0</v>
      </c>
      <c r="O59" s="535">
        <f>(Table1351452010[[#This Row],[ค่าบริการเฉลียรายเดือนตาม Package
(เรียกเก็บสุทธิ)]]*Table1351452010[[#This Row],[% ค่าคอมค่าบริการ
(อัตราก้าวหน้า)]])*Table1351452010[[#This Row],[ระยะเวลาสัญญา
(เดือน)]]</f>
        <v>0</v>
      </c>
      <c r="P59" s="735">
        <f>Table1351452010[[#This Row],[ระยะเวลาสัญญา
(เดือน)]]/$P$5</f>
        <v>0</v>
      </c>
      <c r="Q59" s="737"/>
      <c r="R59" s="738"/>
      <c r="S59" s="738"/>
      <c r="T59" s="738"/>
      <c r="U59" s="762"/>
      <c r="V59" s="675"/>
      <c r="W59" s="593"/>
      <c r="X59" s="594">
        <f>IF(Table1351452010[[#This Row],[หัก ณ ที่จ่าย
(ค่าติตั้ง)]]="มี",Table1351452010[[#This Row],[ค่าเชื่อมสัญญาณ/
ค่าติดตั้ง/
ค่าขายอุปกรณ์]]*$X$3,0)</f>
        <v>0</v>
      </c>
      <c r="Y59" s="396">
        <f>Table1351452010[[#This Row],[ค่าเชื่อมสัญญาณ/
ค่าติดตั้ง/
ค่าขายอุปกรณ์]]-Table1351452010[[#This Row],[มูลค่าหัก 3%
(ค่าติดตั้ง)]]</f>
        <v>0</v>
      </c>
      <c r="Z59" s="676"/>
      <c r="AA59" s="664">
        <f>Table1351452010[[#This Row],[ค่าเชื่อมสัญญาณ/
ค่าติดตั้ง/
ค่าขายอุปกรณ์
(เรียกเก็บสุทธิ)]]-Table1351452010[[#This Row],[ต้นทุน]]</f>
        <v>0</v>
      </c>
      <c r="AB59" s="536" t="str">
        <f>IF(Table1351452010[[#This Row],[ส่วนต่างกำไร]]&lt;(Table1351452010[[#This Row],[ต้นทุน]]*5%),Table1351452010[[#This Row],[ค่าเชื่อมสัญญาณ/
ค่าติดตั้ง/
ค่าขายอุปกรณ์
(เรียกเก็บสุทธิ)]]*$AB$3,"0")</f>
        <v>0</v>
      </c>
      <c r="AC59" s="536">
        <f>IF(Table1351452010[[#This Row],[ส่วนต่างกำไร]]&gt;=(Table1351452010[[#This Row],[ต้นทุน]]*5%),Table1351452010[[#This Row],[ค่าเชื่อมสัญญาณ/
ค่าติดตั้ง/
ค่าขายอุปกรณ์
(เรียกเก็บสุทธิ)]]*$AC$3,"0")</f>
        <v>0</v>
      </c>
      <c r="AD59" s="611">
        <f>SUM(Table1351452010[[#This Row],[คอมฯ
 5%]:[คอมฯ
10%]])</f>
        <v>0</v>
      </c>
      <c r="AE59" s="623"/>
      <c r="AF59" s="593"/>
      <c r="AG59" s="615">
        <f>IF(Table1351452010[[#This Row],[หัก ณ ที่จ่าย
(ค่าเชื่อมสัญญาณ)]]="มี",Table1351452010[[#This Row],[ค่าเชื่อมสัญญาณ]]*$AG$3,0)</f>
        <v>0</v>
      </c>
      <c r="AH59" s="397">
        <f>Table1351452010[[#This Row],[ค่าเชื่อมสัญญาณ]]-Table1351452010[[#This Row],[มูลค่าหัก 3%
(ค่าเชื่อมสัญญาณ)]]</f>
        <v>0</v>
      </c>
      <c r="AI59" s="402">
        <f>Table1351452010[[#This Row],[ค่าเชื่อมสัญญาณ
(เรียกเก็บสุทธิ)]]*$AI$4</f>
        <v>0</v>
      </c>
      <c r="AJ59" s="537">
        <f>Table1351452010[[#This Row],[ปีที่1
(ทำจ่ายรอบ 3/2025)]]+Table1351452010[[#This Row],[Total
ค่าเชื่มสัญญาณ/ค่าติดตั้ง/
ค่าขายอุปกรณ์
(2)]]+Table1351452010[[#This Row],[Total 
คอมฯค่าเชื่อมสัญญาณ
(3)]]</f>
        <v>0</v>
      </c>
      <c r="AK59" s="538"/>
      <c r="AL59" s="538"/>
      <c r="AM59" s="539"/>
      <c r="AN59" s="507"/>
    </row>
    <row r="60" spans="1:40" s="567" customFormat="1" ht="27" hidden="1" customHeight="1">
      <c r="A60" s="720"/>
      <c r="B60" s="543"/>
      <c r="C60" s="541"/>
      <c r="D60" s="740"/>
      <c r="E60" s="542"/>
      <c r="F60" s="542"/>
      <c r="G60" s="568"/>
      <c r="H60" s="669"/>
      <c r="I60" s="544"/>
      <c r="J60" s="542"/>
      <c r="K60" s="542"/>
      <c r="L60" s="545"/>
      <c r="M60" s="545"/>
      <c r="N60" s="546"/>
      <c r="O60" s="547"/>
      <c r="P60" s="548"/>
      <c r="Q60" s="682"/>
      <c r="R60" s="754"/>
      <c r="S60" s="754"/>
      <c r="T60" s="754"/>
      <c r="U60" s="755"/>
      <c r="V60" s="391"/>
      <c r="W60" s="409"/>
      <c r="X60" s="411"/>
      <c r="Y60" s="389"/>
      <c r="Z60" s="392"/>
      <c r="AA60" s="665" t="e">
        <f t="shared" ref="AA60" si="12">AA59/Z59</f>
        <v>#DIV/0!</v>
      </c>
      <c r="AB60" s="587"/>
      <c r="AC60" s="587"/>
      <c r="AD60" s="612"/>
      <c r="AE60" s="406"/>
      <c r="AF60" s="409"/>
      <c r="AG60" s="409"/>
      <c r="AH60" s="393"/>
      <c r="AI60" s="403"/>
      <c r="AJ60" s="549"/>
      <c r="AK60" s="550"/>
      <c r="AL60" s="550"/>
      <c r="AM60" s="551"/>
      <c r="AN60" s="507"/>
    </row>
    <row r="61" spans="1:40" s="567" customFormat="1" ht="27" hidden="1" customHeight="1">
      <c r="A61" s="540">
        <v>23.8857142857143</v>
      </c>
      <c r="B61" s="543"/>
      <c r="C61" s="540"/>
      <c r="D61" s="746"/>
      <c r="E61" s="552"/>
      <c r="F61" s="552"/>
      <c r="G61" s="568"/>
      <c r="H61" s="669"/>
      <c r="I61" s="544"/>
      <c r="J61" s="542"/>
      <c r="K61" s="542"/>
      <c r="L61" s="545"/>
      <c r="M61" s="545"/>
      <c r="N61" s="542"/>
      <c r="O61" s="553"/>
      <c r="P61" s="554"/>
      <c r="Q61" s="683"/>
      <c r="R61" s="757"/>
      <c r="S61" s="757"/>
      <c r="T61" s="757"/>
      <c r="U61" s="758"/>
      <c r="V61" s="391"/>
      <c r="W61" s="409"/>
      <c r="X61" s="411"/>
      <c r="Y61" s="389"/>
      <c r="Z61" s="392"/>
      <c r="AA61" s="414"/>
      <c r="AB61" s="587"/>
      <c r="AC61" s="587"/>
      <c r="AD61" s="613"/>
      <c r="AE61" s="407"/>
      <c r="AF61" s="409"/>
      <c r="AG61" s="409"/>
      <c r="AH61" s="393"/>
      <c r="AI61" s="403"/>
      <c r="AJ61" s="549"/>
      <c r="AK61" s="550"/>
      <c r="AL61" s="550"/>
      <c r="AM61" s="551"/>
      <c r="AN61" s="507"/>
    </row>
    <row r="62" spans="1:40" s="567" customFormat="1" ht="27" hidden="1" customHeight="1" thickBot="1">
      <c r="A62" s="555">
        <v>25.092857142857198</v>
      </c>
      <c r="B62" s="557"/>
      <c r="C62" s="555"/>
      <c r="D62" s="745"/>
      <c r="E62" s="556"/>
      <c r="F62" s="556"/>
      <c r="G62" s="558"/>
      <c r="H62" s="670"/>
      <c r="I62" s="559"/>
      <c r="J62" s="560"/>
      <c r="K62" s="560"/>
      <c r="L62" s="561"/>
      <c r="M62" s="561"/>
      <c r="N62" s="560"/>
      <c r="O62" s="562"/>
      <c r="P62" s="563"/>
      <c r="Q62" s="684"/>
      <c r="R62" s="760"/>
      <c r="S62" s="760"/>
      <c r="T62" s="760"/>
      <c r="U62" s="761"/>
      <c r="V62" s="394"/>
      <c r="W62" s="410"/>
      <c r="X62" s="412"/>
      <c r="Y62" s="390"/>
      <c r="Z62" s="388"/>
      <c r="AA62" s="415"/>
      <c r="AB62" s="588"/>
      <c r="AC62" s="588"/>
      <c r="AD62" s="614"/>
      <c r="AE62" s="408"/>
      <c r="AF62" s="410"/>
      <c r="AG62" s="410"/>
      <c r="AH62" s="395"/>
      <c r="AI62" s="404"/>
      <c r="AJ62" s="564"/>
      <c r="AK62" s="565"/>
      <c r="AL62" s="565"/>
      <c r="AM62" s="566"/>
      <c r="AN62" s="680"/>
    </row>
    <row r="63" spans="1:40" s="567" customFormat="1" ht="27" hidden="1" customHeight="1">
      <c r="A63" s="616"/>
      <c r="B63" s="732"/>
      <c r="C63" s="617"/>
      <c r="D63" s="739"/>
      <c r="E63" s="618"/>
      <c r="F63" s="618"/>
      <c r="G63" s="619"/>
      <c r="H63" s="733"/>
      <c r="I63" s="622"/>
      <c r="J63" s="620"/>
      <c r="K63" s="620"/>
      <c r="L63" s="590"/>
      <c r="M63" s="591">
        <f>IF(Table1351452010[[#This Row],[หัก ณ ที่จ่าย
(ค่าบริการ)]]="มี",Table1351452010[[#This Row],[ค่าบริการเฉลี่ยต่อเดือน]]*3%,0)</f>
        <v>0</v>
      </c>
      <c r="N63" s="534">
        <f>Table1351452010[[#This Row],[ค่าบริการเฉลี่ยต่อเดือน]]-Table1351452010[[#This Row],[มูลค่าหัก 3%]]</f>
        <v>0</v>
      </c>
      <c r="O63" s="535">
        <f>(Table1351452010[[#This Row],[ค่าบริการเฉลียรายเดือนตาม Package
(เรียกเก็บสุทธิ)]]*Table1351452010[[#This Row],[% ค่าคอมค่าบริการ
(อัตราก้าวหน้า)]])*Table1351452010[[#This Row],[ระยะเวลาสัญญา
(เดือน)]]</f>
        <v>0</v>
      </c>
      <c r="P63" s="735">
        <f>Table1351452010[[#This Row],[ระยะเวลาสัญญา
(เดือน)]]/$P$5</f>
        <v>0</v>
      </c>
      <c r="Q63" s="736"/>
      <c r="R63" s="752"/>
      <c r="S63" s="738"/>
      <c r="T63" s="738"/>
      <c r="U63" s="762"/>
      <c r="V63" s="621"/>
      <c r="W63" s="593"/>
      <c r="X63" s="594">
        <f>IF(Table1351452010[[#This Row],[หัก ณ ที่จ่าย
(ค่าติตั้ง)]]="มี",Table1351452010[[#This Row],[ค่าเชื่อมสัญญาณ/
ค่าติดตั้ง/
ค่าขายอุปกรณ์]]*$X$3,0)</f>
        <v>0</v>
      </c>
      <c r="Y63" s="396">
        <f>Table1351452010[[#This Row],[ค่าเชื่อมสัญญาณ/
ค่าติดตั้ง/
ค่าขายอุปกรณ์]]-Table1351452010[[#This Row],[มูลค่าหัก 3%
(ค่าติดตั้ง)]]</f>
        <v>0</v>
      </c>
      <c r="Z63" s="676"/>
      <c r="AA63" s="664">
        <f>Table1351452010[[#This Row],[ค่าเชื่อมสัญญาณ/
ค่าติดตั้ง/
ค่าขายอุปกรณ์
(เรียกเก็บสุทธิ)]]-Table1351452010[[#This Row],[ต้นทุน]]</f>
        <v>0</v>
      </c>
      <c r="AB63" s="536" t="str">
        <f>IF(Table1351452010[[#This Row],[ส่วนต่างกำไร]]&lt;(Table1351452010[[#This Row],[ต้นทุน]]*5%),Table1351452010[[#This Row],[ค่าเชื่อมสัญญาณ/
ค่าติดตั้ง/
ค่าขายอุปกรณ์
(เรียกเก็บสุทธิ)]]*$AB$3,"0")</f>
        <v>0</v>
      </c>
      <c r="AC63" s="536">
        <f>IF(Table1351452010[[#This Row],[ส่วนต่างกำไร]]&gt;=(Table1351452010[[#This Row],[ต้นทุน]]*5%),Table1351452010[[#This Row],[ค่าเชื่อมสัญญาณ/
ค่าติดตั้ง/
ค่าขายอุปกรณ์
(เรียกเก็บสุทธิ)]]*$AC$3,"0")</f>
        <v>0</v>
      </c>
      <c r="AD63" s="611">
        <f>SUM(Table1351452010[[#This Row],[คอมฯ
 5%]:[คอมฯ
10%]])</f>
        <v>0</v>
      </c>
      <c r="AE63" s="623"/>
      <c r="AF63" s="593"/>
      <c r="AG63" s="615">
        <f>IF(Table1351452010[[#This Row],[หัก ณ ที่จ่าย
(ค่าเชื่อมสัญญาณ)]]="มี",Table1351452010[[#This Row],[ค่าเชื่อมสัญญาณ]]*$AG$3,0)</f>
        <v>0</v>
      </c>
      <c r="AH63" s="397">
        <f>Table1351452010[[#This Row],[ค่าเชื่อมสัญญาณ]]-Table1351452010[[#This Row],[มูลค่าหัก 3%
(ค่าเชื่อมสัญญาณ)]]</f>
        <v>0</v>
      </c>
      <c r="AI63" s="402">
        <f>Table1351452010[[#This Row],[ค่าเชื่อมสัญญาณ
(เรียกเก็บสุทธิ)]]*$AI$4</f>
        <v>0</v>
      </c>
      <c r="AJ63" s="537">
        <f>Table1351452010[[#This Row],[ปีที่1
(ทำจ่ายรอบ 3/2025)]]+Table1351452010[[#This Row],[Total
ค่าเชื่มสัญญาณ/ค่าติดตั้ง/
ค่าขายอุปกรณ์
(2)]]+Table1351452010[[#This Row],[Total 
คอมฯค่าเชื่อมสัญญาณ
(3)]]</f>
        <v>0</v>
      </c>
      <c r="AK63" s="538"/>
      <c r="AL63" s="538"/>
      <c r="AM63" s="539"/>
      <c r="AN63" s="507"/>
    </row>
    <row r="64" spans="1:40" s="567" customFormat="1" ht="27" hidden="1" customHeight="1">
      <c r="A64" s="720"/>
      <c r="B64" s="543"/>
      <c r="C64" s="541"/>
      <c r="D64" s="740"/>
      <c r="E64" s="542"/>
      <c r="F64" s="542"/>
      <c r="G64" s="568"/>
      <c r="H64" s="669"/>
      <c r="I64" s="544"/>
      <c r="J64" s="542"/>
      <c r="K64" s="542"/>
      <c r="L64" s="545"/>
      <c r="M64" s="545"/>
      <c r="N64" s="546"/>
      <c r="O64" s="547"/>
      <c r="P64" s="548"/>
      <c r="Q64" s="682"/>
      <c r="R64" s="753"/>
      <c r="S64" s="754"/>
      <c r="T64" s="754"/>
      <c r="U64" s="755"/>
      <c r="V64" s="391"/>
      <c r="W64" s="409"/>
      <c r="X64" s="411"/>
      <c r="Y64" s="389"/>
      <c r="Z64" s="392"/>
      <c r="AA64" s="665" t="e">
        <f t="shared" ref="AA64" si="13">AA63/Z63</f>
        <v>#DIV/0!</v>
      </c>
      <c r="AB64" s="587"/>
      <c r="AC64" s="587"/>
      <c r="AD64" s="612"/>
      <c r="AE64" s="406"/>
      <c r="AF64" s="409"/>
      <c r="AG64" s="409"/>
      <c r="AH64" s="393"/>
      <c r="AI64" s="403"/>
      <c r="AJ64" s="549"/>
      <c r="AK64" s="550"/>
      <c r="AL64" s="550"/>
      <c r="AM64" s="551"/>
      <c r="AN64" s="507"/>
    </row>
    <row r="65" spans="1:40" s="567" customFormat="1" ht="27" hidden="1" customHeight="1">
      <c r="A65" s="540">
        <v>23.8857142857143</v>
      </c>
      <c r="B65" s="543"/>
      <c r="C65" s="540"/>
      <c r="D65" s="744"/>
      <c r="E65" s="552"/>
      <c r="F65" s="552"/>
      <c r="G65" s="568"/>
      <c r="H65" s="669"/>
      <c r="I65" s="544"/>
      <c r="J65" s="542"/>
      <c r="K65" s="542"/>
      <c r="L65" s="545"/>
      <c r="M65" s="545"/>
      <c r="N65" s="542"/>
      <c r="O65" s="553"/>
      <c r="P65" s="554"/>
      <c r="Q65" s="683"/>
      <c r="R65" s="756"/>
      <c r="S65" s="757"/>
      <c r="T65" s="757"/>
      <c r="U65" s="758"/>
      <c r="V65" s="391"/>
      <c r="W65" s="409"/>
      <c r="X65" s="411"/>
      <c r="Y65" s="389"/>
      <c r="Z65" s="392"/>
      <c r="AA65" s="392"/>
      <c r="AB65" s="587"/>
      <c r="AC65" s="587"/>
      <c r="AD65" s="613"/>
      <c r="AE65" s="407"/>
      <c r="AF65" s="409"/>
      <c r="AG65" s="409"/>
      <c r="AH65" s="393"/>
      <c r="AI65" s="403"/>
      <c r="AJ65" s="549"/>
      <c r="AK65" s="550"/>
      <c r="AL65" s="550"/>
      <c r="AM65" s="551"/>
      <c r="AN65" s="507"/>
    </row>
    <row r="66" spans="1:40" s="567" customFormat="1" ht="27" hidden="1" customHeight="1" thickBot="1">
      <c r="A66" s="555">
        <v>25.092857142857198</v>
      </c>
      <c r="B66" s="557"/>
      <c r="C66" s="555"/>
      <c r="D66" s="745"/>
      <c r="E66" s="556"/>
      <c r="F66" s="556"/>
      <c r="G66" s="558"/>
      <c r="H66" s="670"/>
      <c r="I66" s="559"/>
      <c r="J66" s="560"/>
      <c r="K66" s="560"/>
      <c r="L66" s="561"/>
      <c r="M66" s="561"/>
      <c r="N66" s="560"/>
      <c r="O66" s="562"/>
      <c r="P66" s="563"/>
      <c r="Q66" s="684"/>
      <c r="R66" s="759"/>
      <c r="S66" s="760"/>
      <c r="T66" s="760"/>
      <c r="U66" s="761"/>
      <c r="V66" s="394"/>
      <c r="W66" s="410"/>
      <c r="X66" s="412"/>
      <c r="Y66" s="390"/>
      <c r="Z66" s="666"/>
      <c r="AA66" s="666"/>
      <c r="AB66" s="588"/>
      <c r="AC66" s="588"/>
      <c r="AD66" s="614"/>
      <c r="AE66" s="408"/>
      <c r="AF66" s="410"/>
      <c r="AG66" s="410"/>
      <c r="AH66" s="395"/>
      <c r="AI66" s="404"/>
      <c r="AJ66" s="564"/>
      <c r="AK66" s="565"/>
      <c r="AL66" s="565"/>
      <c r="AM66" s="566"/>
      <c r="AN66" s="680"/>
    </row>
    <row r="67" spans="1:40" s="571" customFormat="1" ht="28.5" customHeight="1" thickBot="1">
      <c r="A67" s="604"/>
      <c r="B67" s="605"/>
      <c r="C67" s="604"/>
      <c r="D67" s="605" t="s">
        <v>5</v>
      </c>
      <c r="E67" s="605"/>
      <c r="F67" s="605"/>
      <c r="G67" s="606"/>
      <c r="H67" s="671"/>
      <c r="I67" s="606"/>
      <c r="J67" s="569"/>
      <c r="K67" s="569"/>
      <c r="L67" s="607"/>
      <c r="M67" s="608">
        <f>SUM(M7:M66)</f>
        <v>4668.18</v>
      </c>
      <c r="N67" s="569">
        <f>SUM(N7:N66)</f>
        <v>166037.82</v>
      </c>
      <c r="O67" s="569">
        <f>SUM(O7:O66)</f>
        <v>242740.38631999999</v>
      </c>
      <c r="P67" s="609"/>
      <c r="Q67" s="569">
        <f>Q7+Q35+Q47+Q51+Q55+Q59+Q63+Q11+Q15+Q19+Q23+Q27+Q31+Q39+Q43</f>
        <v>134441.22632000002</v>
      </c>
      <c r="R67" s="569">
        <f>R7+R35+R47+R51+R55+R59+R63</f>
        <v>5761.8</v>
      </c>
      <c r="S67" s="569">
        <f>S7+S35+S47+S51+S55+S59+S63</f>
        <v>5761.8</v>
      </c>
      <c r="T67" s="569">
        <f>T7+T35+T47+T51+T55+T59+T63</f>
        <v>5761.8</v>
      </c>
      <c r="U67" s="569">
        <f>U7+U35+U47+U51+U55+U59+U63</f>
        <v>5761.8</v>
      </c>
      <c r="V67" s="405">
        <f>SUM(V7:V66)</f>
        <v>186100</v>
      </c>
      <c r="W67" s="610"/>
      <c r="X67" s="405">
        <f>SUM(X7:X66)</f>
        <v>3000</v>
      </c>
      <c r="Y67" s="405">
        <f>SUM(Y7+Y11+Y15+Y19+Y23+Y27+Y31+Y35+Y39+Y43+Y44+Y47)</f>
        <v>162600</v>
      </c>
      <c r="Z67" s="405">
        <f>SUM(Z7:Z66)</f>
        <v>967172.88</v>
      </c>
      <c r="AA67" s="405">
        <f>AA7+AA35+AA47+AA51+AA55+AA59+AA63+AA11+AA15+AA19+AA23+AA27+AA31+AA39+AA43</f>
        <v>-792772.88</v>
      </c>
      <c r="AB67" s="569">
        <f>SUM(AB7:AB66)</f>
        <v>8247.5</v>
      </c>
      <c r="AC67" s="569">
        <f>SUM(AC7:AC66)</f>
        <v>2410</v>
      </c>
      <c r="AD67" s="569">
        <f>SUM(AD7:AD66)</f>
        <v>10657.5</v>
      </c>
      <c r="AE67" s="405"/>
      <c r="AF67" s="610"/>
      <c r="AG67" s="610"/>
      <c r="AH67" s="405">
        <f t="shared" ref="AH67:AM67" si="14">SUM(AH7:AH66)</f>
        <v>0</v>
      </c>
      <c r="AI67" s="405">
        <f t="shared" si="14"/>
        <v>0</v>
      </c>
      <c r="AJ67" s="570">
        <f>SUM(AJ7:AJ66)</f>
        <v>145098.72632000002</v>
      </c>
      <c r="AK67" s="628">
        <f t="shared" si="14"/>
        <v>0</v>
      </c>
      <c r="AL67" s="628">
        <f t="shared" si="14"/>
        <v>0</v>
      </c>
      <c r="AM67" s="628">
        <f t="shared" si="14"/>
        <v>0</v>
      </c>
    </row>
    <row r="68" spans="1:40" s="571" customFormat="1" ht="28.5" customHeight="1" thickTop="1">
      <c r="A68" s="515"/>
      <c r="B68" s="516"/>
      <c r="C68" s="515"/>
      <c r="D68" s="516"/>
      <c r="E68" s="516"/>
      <c r="F68" s="516"/>
      <c r="G68" s="632"/>
      <c r="H68" s="672"/>
      <c r="I68" s="632"/>
      <c r="J68" s="633"/>
      <c r="K68" s="633"/>
      <c r="L68" s="634"/>
      <c r="M68" s="635"/>
      <c r="N68" s="633"/>
      <c r="O68" s="633"/>
      <c r="P68" s="636"/>
      <c r="Q68" s="779" t="s">
        <v>286</v>
      </c>
      <c r="R68" s="633"/>
      <c r="S68" s="633"/>
      <c r="T68" s="633"/>
      <c r="U68" s="633"/>
      <c r="V68" s="637"/>
      <c r="W68" s="638"/>
      <c r="X68" s="637"/>
      <c r="Y68" s="637"/>
      <c r="Z68" s="637"/>
      <c r="AA68" s="637"/>
      <c r="AB68" s="633"/>
      <c r="AC68" s="633"/>
      <c r="AD68" s="633"/>
      <c r="AE68" s="637"/>
      <c r="AF68" s="638"/>
      <c r="AG68" s="638"/>
      <c r="AH68" s="637"/>
      <c r="AI68" s="637"/>
      <c r="AJ68" s="633"/>
      <c r="AK68" s="633"/>
      <c r="AL68" s="633"/>
      <c r="AM68" s="633"/>
      <c r="AN68" s="515"/>
    </row>
    <row r="69" spans="1:40" ht="25.2" customHeight="1">
      <c r="D69" s="639" t="s">
        <v>203</v>
      </c>
      <c r="AE69" s="644"/>
      <c r="AJ69" s="579"/>
      <c r="AK69" s="580"/>
      <c r="AL69" s="580"/>
      <c r="AM69" s="581"/>
    </row>
    <row r="70" spans="1:40" s="645" customFormat="1" ht="37.799999999999997" customHeight="1">
      <c r="B70" s="649"/>
      <c r="D70" s="646" t="s">
        <v>201</v>
      </c>
      <c r="E70" s="647">
        <v>148580</v>
      </c>
      <c r="F70" s="648"/>
      <c r="G70" s="650"/>
      <c r="H70" s="674"/>
      <c r="I70" s="649"/>
      <c r="J70" s="648"/>
      <c r="K70" s="648"/>
      <c r="L70" s="651"/>
      <c r="M70" s="651"/>
      <c r="N70" s="648"/>
      <c r="O70" s="652"/>
      <c r="P70" s="653"/>
      <c r="Q70" s="653"/>
      <c r="R70" s="764"/>
      <c r="S70" s="764"/>
      <c r="T70" s="764"/>
      <c r="U70" s="764"/>
      <c r="V70" s="654"/>
      <c r="W70" s="655"/>
      <c r="X70" s="655"/>
      <c r="Y70" s="654"/>
      <c r="Z70" s="654"/>
      <c r="AA70" s="655"/>
      <c r="AB70" s="656"/>
      <c r="AC70" s="656"/>
      <c r="AD70" s="652"/>
      <c r="AE70" s="657"/>
      <c r="AF70" s="658"/>
      <c r="AG70" s="658"/>
      <c r="AH70" s="659"/>
      <c r="AI70" s="660"/>
      <c r="AJ70" s="661"/>
      <c r="AK70" s="656"/>
      <c r="AL70" s="656"/>
      <c r="AM70" s="662"/>
      <c r="AN70" s="663"/>
    </row>
    <row r="71" spans="1:40" ht="17.399999999999999" hidden="1">
      <c r="D71" s="641" t="s">
        <v>202</v>
      </c>
      <c r="E71" s="642">
        <v>5000</v>
      </c>
      <c r="F71" s="583"/>
    </row>
    <row r="72" spans="1:40" ht="17.399999999999999" hidden="1">
      <c r="E72" s="643">
        <f>SUM(E70:E71)</f>
        <v>153580</v>
      </c>
    </row>
  </sheetData>
  <sheetProtection formatCells="0" insertRows="0" insertHyperlinks="0" deleteRows="0" sort="0" autoFilter="0" pivotTables="0"/>
  <mergeCells count="7">
    <mergeCell ref="AE5:AI5"/>
    <mergeCell ref="V5:AD5"/>
    <mergeCell ref="A1:N1"/>
    <mergeCell ref="Q4:U4"/>
    <mergeCell ref="Q5:U5"/>
    <mergeCell ref="V4:AD4"/>
    <mergeCell ref="AE4:AI4"/>
  </mergeCells>
  <phoneticPr fontId="20" type="noConversion"/>
  <dataValidations count="3">
    <dataValidation type="list" allowBlank="1" showInputMessage="1" showErrorMessage="1" sqref="WMO983070 JU2 TQ2 ADM2 ANI2 AXE2 BHA2 BQW2 CAS2 CKO2 CUK2 DEG2 DOC2 DXY2 EHU2 ERQ2 FBM2 FLI2 FVE2 GFA2 GOW2 GYS2 HIO2 HSK2 ICG2 IMC2 IVY2 JFU2 JPQ2 JZM2 KJI2 KTE2 LDA2 LMW2 LWS2 MGO2 MQK2 NAG2 NKC2 NTY2 ODU2 ONQ2 OXM2 PHI2 PRE2 QBA2 QKW2 QUS2 REO2 ROK2 RYG2 SIC2 SRY2 TBU2 TLQ2 TVM2 UFI2 UPE2 UZA2 VIW2 VSS2 WCO2 WMK2 QUW983070 JY65566 TU65566 ADQ65566 ANM65566 AXI65566 BHE65566 BRA65566 CAW65566 CKS65566 CUO65566 DEK65566 DOG65566 DYC65566 EHY65566 ERU65566 FBQ65566 FLM65566 FVI65566 GFE65566 GPA65566 GYW65566 HIS65566 HSO65566 ICK65566 IMG65566 IWC65566 JFY65566 JPU65566 JZQ65566 KJM65566 KTI65566 LDE65566 LNA65566 LWW65566 MGS65566 MQO65566 NAK65566 NKG65566 NUC65566 ODY65566 ONU65566 OXQ65566 PHM65566 PRI65566 QBE65566 QLA65566 QUW65566 RES65566 ROO65566 RYK65566 SIG65566 SSC65566 TBY65566 TLU65566 TVQ65566 UFM65566 UPI65566 UZE65566 VJA65566 VSW65566 WCS65566 WMO65566 RES983070 JY131102 TU131102 ADQ131102 ANM131102 AXI131102 BHE131102 BRA131102 CAW131102 CKS131102 CUO131102 DEK131102 DOG131102 DYC131102 EHY131102 ERU131102 FBQ131102 FLM131102 FVI131102 GFE131102 GPA131102 GYW131102 HIS131102 HSO131102 ICK131102 IMG131102 IWC131102 JFY131102 JPU131102 JZQ131102 KJM131102 KTI131102 LDE131102 LNA131102 LWW131102 MGS131102 MQO131102 NAK131102 NKG131102 NUC131102 ODY131102 ONU131102 OXQ131102 PHM131102 PRI131102 QBE131102 QLA131102 QUW131102 RES131102 ROO131102 RYK131102 SIG131102 SSC131102 TBY131102 TLU131102 TVQ131102 UFM131102 UPI131102 UZE131102 VJA131102 VSW131102 WCS131102 WMO131102 ROO983070 JY196638 TU196638 ADQ196638 ANM196638 AXI196638 BHE196638 BRA196638 CAW196638 CKS196638 CUO196638 DEK196638 DOG196638 DYC196638 EHY196638 ERU196638 FBQ196638 FLM196638 FVI196638 GFE196638 GPA196638 GYW196638 HIS196638 HSO196638 ICK196638 IMG196638 IWC196638 JFY196638 JPU196638 JZQ196638 KJM196638 KTI196638 LDE196638 LNA196638 LWW196638 MGS196638 MQO196638 NAK196638 NKG196638 NUC196638 ODY196638 ONU196638 OXQ196638 PHM196638 PRI196638 QBE196638 QLA196638 QUW196638 RES196638 ROO196638 RYK196638 SIG196638 SSC196638 TBY196638 TLU196638 TVQ196638 UFM196638 UPI196638 UZE196638 VJA196638 VSW196638 WCS196638 WMO196638 RYK983070 JY262174 TU262174 ADQ262174 ANM262174 AXI262174 BHE262174 BRA262174 CAW262174 CKS262174 CUO262174 DEK262174 DOG262174 DYC262174 EHY262174 ERU262174 FBQ262174 FLM262174 FVI262174 GFE262174 GPA262174 GYW262174 HIS262174 HSO262174 ICK262174 IMG262174 IWC262174 JFY262174 JPU262174 JZQ262174 KJM262174 KTI262174 LDE262174 LNA262174 LWW262174 MGS262174 MQO262174 NAK262174 NKG262174 NUC262174 ODY262174 ONU262174 OXQ262174 PHM262174 PRI262174 QBE262174 QLA262174 QUW262174 RES262174 ROO262174 RYK262174 SIG262174 SSC262174 TBY262174 TLU262174 TVQ262174 UFM262174 UPI262174 UZE262174 VJA262174 VSW262174 WCS262174 WMO262174 SIG983070 JY327710 TU327710 ADQ327710 ANM327710 AXI327710 BHE327710 BRA327710 CAW327710 CKS327710 CUO327710 DEK327710 DOG327710 DYC327710 EHY327710 ERU327710 FBQ327710 FLM327710 FVI327710 GFE327710 GPA327710 GYW327710 HIS327710 HSO327710 ICK327710 IMG327710 IWC327710 JFY327710 JPU327710 JZQ327710 KJM327710 KTI327710 LDE327710 LNA327710 LWW327710 MGS327710 MQO327710 NAK327710 NKG327710 NUC327710 ODY327710 ONU327710 OXQ327710 PHM327710 PRI327710 QBE327710 QLA327710 QUW327710 RES327710 ROO327710 RYK327710 SIG327710 SSC327710 TBY327710 TLU327710 TVQ327710 UFM327710 UPI327710 UZE327710 VJA327710 VSW327710 WCS327710 WMO327710 SSC983070 JY393246 TU393246 ADQ393246 ANM393246 AXI393246 BHE393246 BRA393246 CAW393246 CKS393246 CUO393246 DEK393246 DOG393246 DYC393246 EHY393246 ERU393246 FBQ393246 FLM393246 FVI393246 GFE393246 GPA393246 GYW393246 HIS393246 HSO393246 ICK393246 IMG393246 IWC393246 JFY393246 JPU393246 JZQ393246 KJM393246 KTI393246 LDE393246 LNA393246 LWW393246 MGS393246 MQO393246 NAK393246 NKG393246 NUC393246 ODY393246 ONU393246 OXQ393246 PHM393246 PRI393246 QBE393246 QLA393246 QUW393246 RES393246 ROO393246 RYK393246 SIG393246 SSC393246 TBY393246 TLU393246 TVQ393246 UFM393246 UPI393246 UZE393246 VJA393246 VSW393246 WCS393246 WMO393246 TBY983070 JY458782 TU458782 ADQ458782 ANM458782 AXI458782 BHE458782 BRA458782 CAW458782 CKS458782 CUO458782 DEK458782 DOG458782 DYC458782 EHY458782 ERU458782 FBQ458782 FLM458782 FVI458782 GFE458782 GPA458782 GYW458782 HIS458782 HSO458782 ICK458782 IMG458782 IWC458782 JFY458782 JPU458782 JZQ458782 KJM458782 KTI458782 LDE458782 LNA458782 LWW458782 MGS458782 MQO458782 NAK458782 NKG458782 NUC458782 ODY458782 ONU458782 OXQ458782 PHM458782 PRI458782 QBE458782 QLA458782 QUW458782 RES458782 ROO458782 RYK458782 SIG458782 SSC458782 TBY458782 TLU458782 TVQ458782 UFM458782 UPI458782 UZE458782 VJA458782 VSW458782 WCS458782 WMO458782 TLU983070 JY524318 TU524318 ADQ524318 ANM524318 AXI524318 BHE524318 BRA524318 CAW524318 CKS524318 CUO524318 DEK524318 DOG524318 DYC524318 EHY524318 ERU524318 FBQ524318 FLM524318 FVI524318 GFE524318 GPA524318 GYW524318 HIS524318 HSO524318 ICK524318 IMG524318 IWC524318 JFY524318 JPU524318 JZQ524318 KJM524318 KTI524318 LDE524318 LNA524318 LWW524318 MGS524318 MQO524318 NAK524318 NKG524318 NUC524318 ODY524318 ONU524318 OXQ524318 PHM524318 PRI524318 QBE524318 QLA524318 QUW524318 RES524318 ROO524318 RYK524318 SIG524318 SSC524318 TBY524318 TLU524318 TVQ524318 UFM524318 UPI524318 UZE524318 VJA524318 VSW524318 WCS524318 WMO524318 TVQ983070 JY589854 TU589854 ADQ589854 ANM589854 AXI589854 BHE589854 BRA589854 CAW589854 CKS589854 CUO589854 DEK589854 DOG589854 DYC589854 EHY589854 ERU589854 FBQ589854 FLM589854 FVI589854 GFE589854 GPA589854 GYW589854 HIS589854 HSO589854 ICK589854 IMG589854 IWC589854 JFY589854 JPU589854 JZQ589854 KJM589854 KTI589854 LDE589854 LNA589854 LWW589854 MGS589854 MQO589854 NAK589854 NKG589854 NUC589854 ODY589854 ONU589854 OXQ589854 PHM589854 PRI589854 QBE589854 QLA589854 QUW589854 RES589854 ROO589854 RYK589854 SIG589854 SSC589854 TBY589854 TLU589854 TVQ589854 UFM589854 UPI589854 UZE589854 VJA589854 VSW589854 WCS589854 WMO589854 UFM983070 JY655390 TU655390 ADQ655390 ANM655390 AXI655390 BHE655390 BRA655390 CAW655390 CKS655390 CUO655390 DEK655390 DOG655390 DYC655390 EHY655390 ERU655390 FBQ655390 FLM655390 FVI655390 GFE655390 GPA655390 GYW655390 HIS655390 HSO655390 ICK655390 IMG655390 IWC655390 JFY655390 JPU655390 JZQ655390 KJM655390 KTI655390 LDE655390 LNA655390 LWW655390 MGS655390 MQO655390 NAK655390 NKG655390 NUC655390 ODY655390 ONU655390 OXQ655390 PHM655390 PRI655390 QBE655390 QLA655390 QUW655390 RES655390 ROO655390 RYK655390 SIG655390 SSC655390 TBY655390 TLU655390 TVQ655390 UFM655390 UPI655390 UZE655390 VJA655390 VSW655390 WCS655390 WMO655390 UPI983070 JY720926 TU720926 ADQ720926 ANM720926 AXI720926 BHE720926 BRA720926 CAW720926 CKS720926 CUO720926 DEK720926 DOG720926 DYC720926 EHY720926 ERU720926 FBQ720926 FLM720926 FVI720926 GFE720926 GPA720926 GYW720926 HIS720926 HSO720926 ICK720926 IMG720926 IWC720926 JFY720926 JPU720926 JZQ720926 KJM720926 KTI720926 LDE720926 LNA720926 LWW720926 MGS720926 MQO720926 NAK720926 NKG720926 NUC720926 ODY720926 ONU720926 OXQ720926 PHM720926 PRI720926 QBE720926 QLA720926 QUW720926 RES720926 ROO720926 RYK720926 SIG720926 SSC720926 TBY720926 TLU720926 TVQ720926 UFM720926 UPI720926 UZE720926 VJA720926 VSW720926 WCS720926 WMO720926 UZE983070 JY786462 TU786462 ADQ786462 ANM786462 AXI786462 BHE786462 BRA786462 CAW786462 CKS786462 CUO786462 DEK786462 DOG786462 DYC786462 EHY786462 ERU786462 FBQ786462 FLM786462 FVI786462 GFE786462 GPA786462 GYW786462 HIS786462 HSO786462 ICK786462 IMG786462 IWC786462 JFY786462 JPU786462 JZQ786462 KJM786462 KTI786462 LDE786462 LNA786462 LWW786462 MGS786462 MQO786462 NAK786462 NKG786462 NUC786462 ODY786462 ONU786462 OXQ786462 PHM786462 PRI786462 QBE786462 QLA786462 QUW786462 RES786462 ROO786462 RYK786462 SIG786462 SSC786462 TBY786462 TLU786462 TVQ786462 UFM786462 UPI786462 UZE786462 VJA786462 VSW786462 WCS786462 WMO786462 VJA983070 JY851998 TU851998 ADQ851998 ANM851998 AXI851998 BHE851998 BRA851998 CAW851998 CKS851998 CUO851998 DEK851998 DOG851998 DYC851998 EHY851998 ERU851998 FBQ851998 FLM851998 FVI851998 GFE851998 GPA851998 GYW851998 HIS851998 HSO851998 ICK851998 IMG851998 IWC851998 JFY851998 JPU851998 JZQ851998 KJM851998 KTI851998 LDE851998 LNA851998 LWW851998 MGS851998 MQO851998 NAK851998 NKG851998 NUC851998 ODY851998 ONU851998 OXQ851998 PHM851998 PRI851998 QBE851998 QLA851998 QUW851998 RES851998 ROO851998 RYK851998 SIG851998 SSC851998 TBY851998 TLU851998 TVQ851998 UFM851998 UPI851998 UZE851998 VJA851998 VSW851998 WCS851998 WMO851998 VSW983070 JY917534 TU917534 ADQ917534 ANM917534 AXI917534 BHE917534 BRA917534 CAW917534 CKS917534 CUO917534 DEK917534 DOG917534 DYC917534 EHY917534 ERU917534 FBQ917534 FLM917534 FVI917534 GFE917534 GPA917534 GYW917534 HIS917534 HSO917534 ICK917534 IMG917534 IWC917534 JFY917534 JPU917534 JZQ917534 KJM917534 KTI917534 LDE917534 LNA917534 LWW917534 MGS917534 MQO917534 NAK917534 NKG917534 NUC917534 ODY917534 ONU917534 OXQ917534 PHM917534 PRI917534 QBE917534 QLA917534 QUW917534 RES917534 ROO917534 RYK917534 SIG917534 SSC917534 TBY917534 TLU917534 TVQ917534 UFM917534 UPI917534 UZE917534 VJA917534 VSW917534 WCS917534 WMO917534 WCS983070 JY983070 TU983070 ADQ983070 ANM983070 AXI983070 BHE983070 BRA983070 CAW983070 CKS983070 CUO983070 DEK983070 DOG983070 DYC983070 EHY983070 ERU983070 FBQ983070 FLM983070 FVI983070 GFE983070 GPA983070 GYW983070 HIS983070 HSO983070 ICK983070 IMG983070 IWC983070 JFY983070 JPU983070 JZQ983070 KJM983070 KTI983070 LDE983070 LNA983070 LWW983070 MGS983070 MQO983070 NAK983070 NKG983070 NUC983070 ODY983070 ONU983070 OXQ983070 PHM983070 PRI983070 QBE983070 QLA983070 C131102 C196638 C262174 C327710 C393246 C458782 C524318 C589854 C655390 C720926 C786462 C851998 C917534 C983070 A983070 A917534 A851998 A786462 A720926 A655390 A589854 A524318 A458782 A393246 A327710 A262174 A196638 A131102 A65566 C65566" xr:uid="{03142BC0-4A64-4949-8FC3-7924DF007D13}">
      <formula1>"ประจำเดือน มกราคม,ประจำเดือน กุมภาพันธ์,ประจำเดือน มีนาคม,ประจำเดือน เมษายน,ประจำเดือน พฤษภาคม,ประจำเดือน มิถุนายน,ประจำเดือน กรกฏาคม,ประจำเดือน สิงหาคม,ประจำเดือน กันยายน,ประจำเดือน ตุลาคม,ประจำเดือน พฤศจิกายน,ประจำเดือน ธันวาคม"</formula1>
    </dataValidation>
    <dataValidation type="list" allowBlank="1" showInputMessage="1" showErrorMessage="1" sqref="WNG983074:WNG983103 AU65570:AU65599 KQ65570:KQ65599 UM65570:UM65599 AEI65570:AEI65599 AOE65570:AOE65599 AYA65570:AYA65599 BHW65570:BHW65599 BRS65570:BRS65599 CBO65570:CBO65599 CLK65570:CLK65599 CVG65570:CVG65599 DFC65570:DFC65599 DOY65570:DOY65599 DYU65570:DYU65599 EIQ65570:EIQ65599 ESM65570:ESM65599 FCI65570:FCI65599 FME65570:FME65599 FWA65570:FWA65599 GFW65570:GFW65599 GPS65570:GPS65599 GZO65570:GZO65599 HJK65570:HJK65599 HTG65570:HTG65599 IDC65570:IDC65599 IMY65570:IMY65599 IWU65570:IWU65599 JGQ65570:JGQ65599 JQM65570:JQM65599 KAI65570:KAI65599 KKE65570:KKE65599 KUA65570:KUA65599 LDW65570:LDW65599 LNS65570:LNS65599 LXO65570:LXO65599 MHK65570:MHK65599 MRG65570:MRG65599 NBC65570:NBC65599 NKY65570:NKY65599 NUU65570:NUU65599 OEQ65570:OEQ65599 OOM65570:OOM65599 OYI65570:OYI65599 PIE65570:PIE65599 PSA65570:PSA65599 QBW65570:QBW65599 QLS65570:QLS65599 QVO65570:QVO65599 RFK65570:RFK65599 RPG65570:RPG65599 RZC65570:RZC65599 SIY65570:SIY65599 SSU65570:SSU65599 TCQ65570:TCQ65599 TMM65570:TMM65599 TWI65570:TWI65599 UGE65570:UGE65599 UQA65570:UQA65599 UZW65570:UZW65599 VJS65570:VJS65599 VTO65570:VTO65599 WDK65570:WDK65599 WNG65570:WNG65599 AU131106:AU131135 KQ131106:KQ131135 UM131106:UM131135 AEI131106:AEI131135 AOE131106:AOE131135 AYA131106:AYA131135 BHW131106:BHW131135 BRS131106:BRS131135 CBO131106:CBO131135 CLK131106:CLK131135 CVG131106:CVG131135 DFC131106:DFC131135 DOY131106:DOY131135 DYU131106:DYU131135 EIQ131106:EIQ131135 ESM131106:ESM131135 FCI131106:FCI131135 FME131106:FME131135 FWA131106:FWA131135 GFW131106:GFW131135 GPS131106:GPS131135 GZO131106:GZO131135 HJK131106:HJK131135 HTG131106:HTG131135 IDC131106:IDC131135 IMY131106:IMY131135 IWU131106:IWU131135 JGQ131106:JGQ131135 JQM131106:JQM131135 KAI131106:KAI131135 KKE131106:KKE131135 KUA131106:KUA131135 LDW131106:LDW131135 LNS131106:LNS131135 LXO131106:LXO131135 MHK131106:MHK131135 MRG131106:MRG131135 NBC131106:NBC131135 NKY131106:NKY131135 NUU131106:NUU131135 OEQ131106:OEQ131135 OOM131106:OOM131135 OYI131106:OYI131135 PIE131106:PIE131135 PSA131106:PSA131135 QBW131106:QBW131135 QLS131106:QLS131135 QVO131106:QVO131135 RFK131106:RFK131135 RPG131106:RPG131135 RZC131106:RZC131135 SIY131106:SIY131135 SSU131106:SSU131135 TCQ131106:TCQ131135 TMM131106:TMM131135 TWI131106:TWI131135 UGE131106:UGE131135 UQA131106:UQA131135 UZW131106:UZW131135 VJS131106:VJS131135 VTO131106:VTO131135 WDK131106:WDK131135 WNG131106:WNG131135 AU196642:AU196671 KQ196642:KQ196671 UM196642:UM196671 AEI196642:AEI196671 AOE196642:AOE196671 AYA196642:AYA196671 BHW196642:BHW196671 BRS196642:BRS196671 CBO196642:CBO196671 CLK196642:CLK196671 CVG196642:CVG196671 DFC196642:DFC196671 DOY196642:DOY196671 DYU196642:DYU196671 EIQ196642:EIQ196671 ESM196642:ESM196671 FCI196642:FCI196671 FME196642:FME196671 FWA196642:FWA196671 GFW196642:GFW196671 GPS196642:GPS196671 GZO196642:GZO196671 HJK196642:HJK196671 HTG196642:HTG196671 IDC196642:IDC196671 IMY196642:IMY196671 IWU196642:IWU196671 JGQ196642:JGQ196671 JQM196642:JQM196671 KAI196642:KAI196671 KKE196642:KKE196671 KUA196642:KUA196671 LDW196642:LDW196671 LNS196642:LNS196671 LXO196642:LXO196671 MHK196642:MHK196671 MRG196642:MRG196671 NBC196642:NBC196671 NKY196642:NKY196671 NUU196642:NUU196671 OEQ196642:OEQ196671 OOM196642:OOM196671 OYI196642:OYI196671 PIE196642:PIE196671 PSA196642:PSA196671 QBW196642:QBW196671 QLS196642:QLS196671 QVO196642:QVO196671 RFK196642:RFK196671 RPG196642:RPG196671 RZC196642:RZC196671 SIY196642:SIY196671 SSU196642:SSU196671 TCQ196642:TCQ196671 TMM196642:TMM196671 TWI196642:TWI196671 UGE196642:UGE196671 UQA196642:UQA196671 UZW196642:UZW196671 VJS196642:VJS196671 VTO196642:VTO196671 WDK196642:WDK196671 WNG196642:WNG196671 AU262178:AU262207 KQ262178:KQ262207 UM262178:UM262207 AEI262178:AEI262207 AOE262178:AOE262207 AYA262178:AYA262207 BHW262178:BHW262207 BRS262178:BRS262207 CBO262178:CBO262207 CLK262178:CLK262207 CVG262178:CVG262207 DFC262178:DFC262207 DOY262178:DOY262207 DYU262178:DYU262207 EIQ262178:EIQ262207 ESM262178:ESM262207 FCI262178:FCI262207 FME262178:FME262207 FWA262178:FWA262207 GFW262178:GFW262207 GPS262178:GPS262207 GZO262178:GZO262207 HJK262178:HJK262207 HTG262178:HTG262207 IDC262178:IDC262207 IMY262178:IMY262207 IWU262178:IWU262207 JGQ262178:JGQ262207 JQM262178:JQM262207 KAI262178:KAI262207 KKE262178:KKE262207 KUA262178:KUA262207 LDW262178:LDW262207 LNS262178:LNS262207 LXO262178:LXO262207 MHK262178:MHK262207 MRG262178:MRG262207 NBC262178:NBC262207 NKY262178:NKY262207 NUU262178:NUU262207 OEQ262178:OEQ262207 OOM262178:OOM262207 OYI262178:OYI262207 PIE262178:PIE262207 PSA262178:PSA262207 QBW262178:QBW262207 QLS262178:QLS262207 QVO262178:QVO262207 RFK262178:RFK262207 RPG262178:RPG262207 RZC262178:RZC262207 SIY262178:SIY262207 SSU262178:SSU262207 TCQ262178:TCQ262207 TMM262178:TMM262207 TWI262178:TWI262207 UGE262178:UGE262207 UQA262178:UQA262207 UZW262178:UZW262207 VJS262178:VJS262207 VTO262178:VTO262207 WDK262178:WDK262207 WNG262178:WNG262207 AU327714:AU327743 KQ327714:KQ327743 UM327714:UM327743 AEI327714:AEI327743 AOE327714:AOE327743 AYA327714:AYA327743 BHW327714:BHW327743 BRS327714:BRS327743 CBO327714:CBO327743 CLK327714:CLK327743 CVG327714:CVG327743 DFC327714:DFC327743 DOY327714:DOY327743 DYU327714:DYU327743 EIQ327714:EIQ327743 ESM327714:ESM327743 FCI327714:FCI327743 FME327714:FME327743 FWA327714:FWA327743 GFW327714:GFW327743 GPS327714:GPS327743 GZO327714:GZO327743 HJK327714:HJK327743 HTG327714:HTG327743 IDC327714:IDC327743 IMY327714:IMY327743 IWU327714:IWU327743 JGQ327714:JGQ327743 JQM327714:JQM327743 KAI327714:KAI327743 KKE327714:KKE327743 KUA327714:KUA327743 LDW327714:LDW327743 LNS327714:LNS327743 LXO327714:LXO327743 MHK327714:MHK327743 MRG327714:MRG327743 NBC327714:NBC327743 NKY327714:NKY327743 NUU327714:NUU327743 OEQ327714:OEQ327743 OOM327714:OOM327743 OYI327714:OYI327743 PIE327714:PIE327743 PSA327714:PSA327743 QBW327714:QBW327743 QLS327714:QLS327743 QVO327714:QVO327743 RFK327714:RFK327743 RPG327714:RPG327743 RZC327714:RZC327743 SIY327714:SIY327743 SSU327714:SSU327743 TCQ327714:TCQ327743 TMM327714:TMM327743 TWI327714:TWI327743 UGE327714:UGE327743 UQA327714:UQA327743 UZW327714:UZW327743 VJS327714:VJS327743 VTO327714:VTO327743 WDK327714:WDK327743 WNG327714:WNG327743 AU393250:AU393279 KQ393250:KQ393279 UM393250:UM393279 AEI393250:AEI393279 AOE393250:AOE393279 AYA393250:AYA393279 BHW393250:BHW393279 BRS393250:BRS393279 CBO393250:CBO393279 CLK393250:CLK393279 CVG393250:CVG393279 DFC393250:DFC393279 DOY393250:DOY393279 DYU393250:DYU393279 EIQ393250:EIQ393279 ESM393250:ESM393279 FCI393250:FCI393279 FME393250:FME393279 FWA393250:FWA393279 GFW393250:GFW393279 GPS393250:GPS393279 GZO393250:GZO393279 HJK393250:HJK393279 HTG393250:HTG393279 IDC393250:IDC393279 IMY393250:IMY393279 IWU393250:IWU393279 JGQ393250:JGQ393279 JQM393250:JQM393279 KAI393250:KAI393279 KKE393250:KKE393279 KUA393250:KUA393279 LDW393250:LDW393279 LNS393250:LNS393279 LXO393250:LXO393279 MHK393250:MHK393279 MRG393250:MRG393279 NBC393250:NBC393279 NKY393250:NKY393279 NUU393250:NUU393279 OEQ393250:OEQ393279 OOM393250:OOM393279 OYI393250:OYI393279 PIE393250:PIE393279 PSA393250:PSA393279 QBW393250:QBW393279 QLS393250:QLS393279 QVO393250:QVO393279 RFK393250:RFK393279 RPG393250:RPG393279 RZC393250:RZC393279 SIY393250:SIY393279 SSU393250:SSU393279 TCQ393250:TCQ393279 TMM393250:TMM393279 TWI393250:TWI393279 UGE393250:UGE393279 UQA393250:UQA393279 UZW393250:UZW393279 VJS393250:VJS393279 VTO393250:VTO393279 WDK393250:WDK393279 WNG393250:WNG393279 AU458786:AU458815 KQ458786:KQ458815 UM458786:UM458815 AEI458786:AEI458815 AOE458786:AOE458815 AYA458786:AYA458815 BHW458786:BHW458815 BRS458786:BRS458815 CBO458786:CBO458815 CLK458786:CLK458815 CVG458786:CVG458815 DFC458786:DFC458815 DOY458786:DOY458815 DYU458786:DYU458815 EIQ458786:EIQ458815 ESM458786:ESM458815 FCI458786:FCI458815 FME458786:FME458815 FWA458786:FWA458815 GFW458786:GFW458815 GPS458786:GPS458815 GZO458786:GZO458815 HJK458786:HJK458815 HTG458786:HTG458815 IDC458786:IDC458815 IMY458786:IMY458815 IWU458786:IWU458815 JGQ458786:JGQ458815 JQM458786:JQM458815 KAI458786:KAI458815 KKE458786:KKE458815 KUA458786:KUA458815 LDW458786:LDW458815 LNS458786:LNS458815 LXO458786:LXO458815 MHK458786:MHK458815 MRG458786:MRG458815 NBC458786:NBC458815 NKY458786:NKY458815 NUU458786:NUU458815 OEQ458786:OEQ458815 OOM458786:OOM458815 OYI458786:OYI458815 PIE458786:PIE458815 PSA458786:PSA458815 QBW458786:QBW458815 QLS458786:QLS458815 QVO458786:QVO458815 RFK458786:RFK458815 RPG458786:RPG458815 RZC458786:RZC458815 SIY458786:SIY458815 SSU458786:SSU458815 TCQ458786:TCQ458815 TMM458786:TMM458815 TWI458786:TWI458815 UGE458786:UGE458815 UQA458786:UQA458815 UZW458786:UZW458815 VJS458786:VJS458815 VTO458786:VTO458815 WDK458786:WDK458815 WNG458786:WNG458815 AU524322:AU524351 KQ524322:KQ524351 UM524322:UM524351 AEI524322:AEI524351 AOE524322:AOE524351 AYA524322:AYA524351 BHW524322:BHW524351 BRS524322:BRS524351 CBO524322:CBO524351 CLK524322:CLK524351 CVG524322:CVG524351 DFC524322:DFC524351 DOY524322:DOY524351 DYU524322:DYU524351 EIQ524322:EIQ524351 ESM524322:ESM524351 FCI524322:FCI524351 FME524322:FME524351 FWA524322:FWA524351 GFW524322:GFW524351 GPS524322:GPS524351 GZO524322:GZO524351 HJK524322:HJK524351 HTG524322:HTG524351 IDC524322:IDC524351 IMY524322:IMY524351 IWU524322:IWU524351 JGQ524322:JGQ524351 JQM524322:JQM524351 KAI524322:KAI524351 KKE524322:KKE524351 KUA524322:KUA524351 LDW524322:LDW524351 LNS524322:LNS524351 LXO524322:LXO524351 MHK524322:MHK524351 MRG524322:MRG524351 NBC524322:NBC524351 NKY524322:NKY524351 NUU524322:NUU524351 OEQ524322:OEQ524351 OOM524322:OOM524351 OYI524322:OYI524351 PIE524322:PIE524351 PSA524322:PSA524351 QBW524322:QBW524351 QLS524322:QLS524351 QVO524322:QVO524351 RFK524322:RFK524351 RPG524322:RPG524351 RZC524322:RZC524351 SIY524322:SIY524351 SSU524322:SSU524351 TCQ524322:TCQ524351 TMM524322:TMM524351 TWI524322:TWI524351 UGE524322:UGE524351 UQA524322:UQA524351 UZW524322:UZW524351 VJS524322:VJS524351 VTO524322:VTO524351 WDK524322:WDK524351 WNG524322:WNG524351 AU589858:AU589887 KQ589858:KQ589887 UM589858:UM589887 AEI589858:AEI589887 AOE589858:AOE589887 AYA589858:AYA589887 BHW589858:BHW589887 BRS589858:BRS589887 CBO589858:CBO589887 CLK589858:CLK589887 CVG589858:CVG589887 DFC589858:DFC589887 DOY589858:DOY589887 DYU589858:DYU589887 EIQ589858:EIQ589887 ESM589858:ESM589887 FCI589858:FCI589887 FME589858:FME589887 FWA589858:FWA589887 GFW589858:GFW589887 GPS589858:GPS589887 GZO589858:GZO589887 HJK589858:HJK589887 HTG589858:HTG589887 IDC589858:IDC589887 IMY589858:IMY589887 IWU589858:IWU589887 JGQ589858:JGQ589887 JQM589858:JQM589887 KAI589858:KAI589887 KKE589858:KKE589887 KUA589858:KUA589887 LDW589858:LDW589887 LNS589858:LNS589887 LXO589858:LXO589887 MHK589858:MHK589887 MRG589858:MRG589887 NBC589858:NBC589887 NKY589858:NKY589887 NUU589858:NUU589887 OEQ589858:OEQ589887 OOM589858:OOM589887 OYI589858:OYI589887 PIE589858:PIE589887 PSA589858:PSA589887 QBW589858:QBW589887 QLS589858:QLS589887 QVO589858:QVO589887 RFK589858:RFK589887 RPG589858:RPG589887 RZC589858:RZC589887 SIY589858:SIY589887 SSU589858:SSU589887 TCQ589858:TCQ589887 TMM589858:TMM589887 TWI589858:TWI589887 UGE589858:UGE589887 UQA589858:UQA589887 UZW589858:UZW589887 VJS589858:VJS589887 VTO589858:VTO589887 WDK589858:WDK589887 WNG589858:WNG589887 AU655394:AU655423 KQ655394:KQ655423 UM655394:UM655423 AEI655394:AEI655423 AOE655394:AOE655423 AYA655394:AYA655423 BHW655394:BHW655423 BRS655394:BRS655423 CBO655394:CBO655423 CLK655394:CLK655423 CVG655394:CVG655423 DFC655394:DFC655423 DOY655394:DOY655423 DYU655394:DYU655423 EIQ655394:EIQ655423 ESM655394:ESM655423 FCI655394:FCI655423 FME655394:FME655423 FWA655394:FWA655423 GFW655394:GFW655423 GPS655394:GPS655423 GZO655394:GZO655423 HJK655394:HJK655423 HTG655394:HTG655423 IDC655394:IDC655423 IMY655394:IMY655423 IWU655394:IWU655423 JGQ655394:JGQ655423 JQM655394:JQM655423 KAI655394:KAI655423 KKE655394:KKE655423 KUA655394:KUA655423 LDW655394:LDW655423 LNS655394:LNS655423 LXO655394:LXO655423 MHK655394:MHK655423 MRG655394:MRG655423 NBC655394:NBC655423 NKY655394:NKY655423 NUU655394:NUU655423 OEQ655394:OEQ655423 OOM655394:OOM655423 OYI655394:OYI655423 PIE655394:PIE655423 PSA655394:PSA655423 QBW655394:QBW655423 QLS655394:QLS655423 QVO655394:QVO655423 RFK655394:RFK655423 RPG655394:RPG655423 RZC655394:RZC655423 SIY655394:SIY655423 SSU655394:SSU655423 TCQ655394:TCQ655423 TMM655394:TMM655423 TWI655394:TWI655423 UGE655394:UGE655423 UQA655394:UQA655423 UZW655394:UZW655423 VJS655394:VJS655423 VTO655394:VTO655423 WDK655394:WDK655423 WNG655394:WNG655423 AU720930:AU720959 KQ720930:KQ720959 UM720930:UM720959 AEI720930:AEI720959 AOE720930:AOE720959 AYA720930:AYA720959 BHW720930:BHW720959 BRS720930:BRS720959 CBO720930:CBO720959 CLK720930:CLK720959 CVG720930:CVG720959 DFC720930:DFC720959 DOY720930:DOY720959 DYU720930:DYU720959 EIQ720930:EIQ720959 ESM720930:ESM720959 FCI720930:FCI720959 FME720930:FME720959 FWA720930:FWA720959 GFW720930:GFW720959 GPS720930:GPS720959 GZO720930:GZO720959 HJK720930:HJK720959 HTG720930:HTG720959 IDC720930:IDC720959 IMY720930:IMY720959 IWU720930:IWU720959 JGQ720930:JGQ720959 JQM720930:JQM720959 KAI720930:KAI720959 KKE720930:KKE720959 KUA720930:KUA720959 LDW720930:LDW720959 LNS720930:LNS720959 LXO720930:LXO720959 MHK720930:MHK720959 MRG720930:MRG720959 NBC720930:NBC720959 NKY720930:NKY720959 NUU720930:NUU720959 OEQ720930:OEQ720959 OOM720930:OOM720959 OYI720930:OYI720959 PIE720930:PIE720959 PSA720930:PSA720959 QBW720930:QBW720959 QLS720930:QLS720959 QVO720930:QVO720959 RFK720930:RFK720959 RPG720930:RPG720959 RZC720930:RZC720959 SIY720930:SIY720959 SSU720930:SSU720959 TCQ720930:TCQ720959 TMM720930:TMM720959 TWI720930:TWI720959 UGE720930:UGE720959 UQA720930:UQA720959 UZW720930:UZW720959 VJS720930:VJS720959 VTO720930:VTO720959 WDK720930:WDK720959 WNG720930:WNG720959 AU786466:AU786495 KQ786466:KQ786495 UM786466:UM786495 AEI786466:AEI786495 AOE786466:AOE786495 AYA786466:AYA786495 BHW786466:BHW786495 BRS786466:BRS786495 CBO786466:CBO786495 CLK786466:CLK786495 CVG786466:CVG786495 DFC786466:DFC786495 DOY786466:DOY786495 DYU786466:DYU786495 EIQ786466:EIQ786495 ESM786466:ESM786495 FCI786466:FCI786495 FME786466:FME786495 FWA786466:FWA786495 GFW786466:GFW786495 GPS786466:GPS786495 GZO786466:GZO786495 HJK786466:HJK786495 HTG786466:HTG786495 IDC786466:IDC786495 IMY786466:IMY786495 IWU786466:IWU786495 JGQ786466:JGQ786495 JQM786466:JQM786495 KAI786466:KAI786495 KKE786466:KKE786495 KUA786466:KUA786495 LDW786466:LDW786495 LNS786466:LNS786495 LXO786466:LXO786495 MHK786466:MHK786495 MRG786466:MRG786495 NBC786466:NBC786495 NKY786466:NKY786495 NUU786466:NUU786495 OEQ786466:OEQ786495 OOM786466:OOM786495 OYI786466:OYI786495 PIE786466:PIE786495 PSA786466:PSA786495 QBW786466:QBW786495 QLS786466:QLS786495 QVO786466:QVO786495 RFK786466:RFK786495 RPG786466:RPG786495 RZC786466:RZC786495 SIY786466:SIY786495 SSU786466:SSU786495 TCQ786466:TCQ786495 TMM786466:TMM786495 TWI786466:TWI786495 UGE786466:UGE786495 UQA786466:UQA786495 UZW786466:UZW786495 VJS786466:VJS786495 VTO786466:VTO786495 WDK786466:WDK786495 WNG786466:WNG786495 AU852002:AU852031 KQ852002:KQ852031 UM852002:UM852031 AEI852002:AEI852031 AOE852002:AOE852031 AYA852002:AYA852031 BHW852002:BHW852031 BRS852002:BRS852031 CBO852002:CBO852031 CLK852002:CLK852031 CVG852002:CVG852031 DFC852002:DFC852031 DOY852002:DOY852031 DYU852002:DYU852031 EIQ852002:EIQ852031 ESM852002:ESM852031 FCI852002:FCI852031 FME852002:FME852031 FWA852002:FWA852031 GFW852002:GFW852031 GPS852002:GPS852031 GZO852002:GZO852031 HJK852002:HJK852031 HTG852002:HTG852031 IDC852002:IDC852031 IMY852002:IMY852031 IWU852002:IWU852031 JGQ852002:JGQ852031 JQM852002:JQM852031 KAI852002:KAI852031 KKE852002:KKE852031 KUA852002:KUA852031 LDW852002:LDW852031 LNS852002:LNS852031 LXO852002:LXO852031 MHK852002:MHK852031 MRG852002:MRG852031 NBC852002:NBC852031 NKY852002:NKY852031 NUU852002:NUU852031 OEQ852002:OEQ852031 OOM852002:OOM852031 OYI852002:OYI852031 PIE852002:PIE852031 PSA852002:PSA852031 QBW852002:QBW852031 QLS852002:QLS852031 QVO852002:QVO852031 RFK852002:RFK852031 RPG852002:RPG852031 RZC852002:RZC852031 SIY852002:SIY852031 SSU852002:SSU852031 TCQ852002:TCQ852031 TMM852002:TMM852031 TWI852002:TWI852031 UGE852002:UGE852031 UQA852002:UQA852031 UZW852002:UZW852031 VJS852002:VJS852031 VTO852002:VTO852031 WDK852002:WDK852031 WNG852002:WNG852031 AU917538:AU917567 KQ917538:KQ917567 UM917538:UM917567 AEI917538:AEI917567 AOE917538:AOE917567 AYA917538:AYA917567 BHW917538:BHW917567 BRS917538:BRS917567 CBO917538:CBO917567 CLK917538:CLK917567 CVG917538:CVG917567 DFC917538:DFC917567 DOY917538:DOY917567 DYU917538:DYU917567 EIQ917538:EIQ917567 ESM917538:ESM917567 FCI917538:FCI917567 FME917538:FME917567 FWA917538:FWA917567 GFW917538:GFW917567 GPS917538:GPS917567 GZO917538:GZO917567 HJK917538:HJK917567 HTG917538:HTG917567 IDC917538:IDC917567 IMY917538:IMY917567 IWU917538:IWU917567 JGQ917538:JGQ917567 JQM917538:JQM917567 KAI917538:KAI917567 KKE917538:KKE917567 KUA917538:KUA917567 LDW917538:LDW917567 LNS917538:LNS917567 LXO917538:LXO917567 MHK917538:MHK917567 MRG917538:MRG917567 NBC917538:NBC917567 NKY917538:NKY917567 NUU917538:NUU917567 OEQ917538:OEQ917567 OOM917538:OOM917567 OYI917538:OYI917567 PIE917538:PIE917567 PSA917538:PSA917567 QBW917538:QBW917567 QLS917538:QLS917567 QVO917538:QVO917567 RFK917538:RFK917567 RPG917538:RPG917567 RZC917538:RZC917567 SIY917538:SIY917567 SSU917538:SSU917567 TCQ917538:TCQ917567 TMM917538:TMM917567 TWI917538:TWI917567 UGE917538:UGE917567 UQA917538:UQA917567 UZW917538:UZW917567 VJS917538:VJS917567 VTO917538:VTO917567 WDK917538:WDK917567 WNG917538:WNG917567 AU983074:AU983103 KQ983074:KQ983103 UM983074:UM983103 AEI983074:AEI983103 AOE983074:AOE983103 AYA983074:AYA983103 BHW983074:BHW983103 BRS983074:BRS983103 CBO983074:CBO983103 CLK983074:CLK983103 CVG983074:CVG983103 DFC983074:DFC983103 DOY983074:DOY983103 DYU983074:DYU983103 EIQ983074:EIQ983103 ESM983074:ESM983103 FCI983074:FCI983103 FME983074:FME983103 FWA983074:FWA983103 GFW983074:GFW983103 GPS983074:GPS983103 GZO983074:GZO983103 HJK983074:HJK983103 HTG983074:HTG983103 IDC983074:IDC983103 IMY983074:IMY983103 IWU983074:IWU983103 JGQ983074:JGQ983103 JQM983074:JQM983103 KAI983074:KAI983103 KKE983074:KKE983103 KUA983074:KUA983103 LDW983074:LDW983103 LNS983074:LNS983103 LXO983074:LXO983103 MHK983074:MHK983103 MRG983074:MRG983103 NBC983074:NBC983103 NKY983074:NKY983103 NUU983074:NUU983103 OEQ983074:OEQ983103 OOM983074:OOM983103 OYI983074:OYI983103 PIE983074:PIE983103 PSA983074:PSA983103 QBW983074:QBW983103 QLS983074:QLS983103 QVO983074:QVO983103 RFK983074:RFK983103 RPG983074:RPG983103 RZC983074:RZC983103 SIY983074:SIY983103 SSU983074:SSU983103 TCQ983074:TCQ983103 TMM983074:TMM983103 TWI983074:TWI983103 UGE983074:UGE983103 UQA983074:UQA983103 UZW983074:UZW983103 VJS983074:VJS983103 VTO983074:VTO983103 WDK983074:WDK983103 UPW7:UPW66 UZS7:UZS66 VJO7:VJO66 WDG7:WDG66 WNC7:WNC66 VTK7:VTK66 AQ7:AQ66 KM7:KM66 UI7:UI66 AEE7:AEE66 AOA7:AOA66 AXW7:AXW66 BHS7:BHS66 BRO7:BRO66 CBK7:CBK66 CLG7:CLG66 CVC7:CVC66 DEY7:DEY66 DOU7:DOU66 DYQ7:DYQ66 EIM7:EIM66 ESI7:ESI66 FCE7:FCE66 FMA7:FMA66 FVW7:FVW66 GFS7:GFS66 GPO7:GPO66 GZK7:GZK66 HJG7:HJG66 HTC7:HTC66 ICY7:ICY66 IMU7:IMU66 IWQ7:IWQ66 JGM7:JGM66 JQI7:JQI66 KAE7:KAE66 KKA7:KKA66 KTW7:KTW66 LDS7:LDS66 LNO7:LNO66 LXK7:LXK66 MHG7:MHG66 MRC7:MRC66 NAY7:NAY66 NKU7:NKU66 NUQ7:NUQ66 OEM7:OEM66 OOI7:OOI66 OYE7:OYE66 PIA7:PIA66 PRW7:PRW66 QBS7:QBS66 QLO7:QLO66 QVK7:QVK66 RFG7:RFG66 RPC7:RPC66 RYY7:RYY66 SIU7:SIU66 SSQ7:SSQ66 TCM7:TCM66 TMI7:TMI66 TWE7:TWE66 UGA7:UGA66" xr:uid="{855F6B68-028B-4980-B22A-8A39AD64CF66}">
      <formula1>"สมเด็จ, มานพ, นิคม, คลองเตย,"</formula1>
    </dataValidation>
    <dataValidation type="list" allowBlank="1" showInputMessage="1" showErrorMessage="1" sqref="WNF983074:WNF983103 AT65570:AT65599 KP65570:KP65599 UL65570:UL65599 AEH65570:AEH65599 AOD65570:AOD65599 AXZ65570:AXZ65599 BHV65570:BHV65599 BRR65570:BRR65599 CBN65570:CBN65599 CLJ65570:CLJ65599 CVF65570:CVF65599 DFB65570:DFB65599 DOX65570:DOX65599 DYT65570:DYT65599 EIP65570:EIP65599 ESL65570:ESL65599 FCH65570:FCH65599 FMD65570:FMD65599 FVZ65570:FVZ65599 GFV65570:GFV65599 GPR65570:GPR65599 GZN65570:GZN65599 HJJ65570:HJJ65599 HTF65570:HTF65599 IDB65570:IDB65599 IMX65570:IMX65599 IWT65570:IWT65599 JGP65570:JGP65599 JQL65570:JQL65599 KAH65570:KAH65599 KKD65570:KKD65599 KTZ65570:KTZ65599 LDV65570:LDV65599 LNR65570:LNR65599 LXN65570:LXN65599 MHJ65570:MHJ65599 MRF65570:MRF65599 NBB65570:NBB65599 NKX65570:NKX65599 NUT65570:NUT65599 OEP65570:OEP65599 OOL65570:OOL65599 OYH65570:OYH65599 PID65570:PID65599 PRZ65570:PRZ65599 QBV65570:QBV65599 QLR65570:QLR65599 QVN65570:QVN65599 RFJ65570:RFJ65599 RPF65570:RPF65599 RZB65570:RZB65599 SIX65570:SIX65599 SST65570:SST65599 TCP65570:TCP65599 TML65570:TML65599 TWH65570:TWH65599 UGD65570:UGD65599 UPZ65570:UPZ65599 UZV65570:UZV65599 VJR65570:VJR65599 VTN65570:VTN65599 WDJ65570:WDJ65599 WNF65570:WNF65599 AT131106:AT131135 KP131106:KP131135 UL131106:UL131135 AEH131106:AEH131135 AOD131106:AOD131135 AXZ131106:AXZ131135 BHV131106:BHV131135 BRR131106:BRR131135 CBN131106:CBN131135 CLJ131106:CLJ131135 CVF131106:CVF131135 DFB131106:DFB131135 DOX131106:DOX131135 DYT131106:DYT131135 EIP131106:EIP131135 ESL131106:ESL131135 FCH131106:FCH131135 FMD131106:FMD131135 FVZ131106:FVZ131135 GFV131106:GFV131135 GPR131106:GPR131135 GZN131106:GZN131135 HJJ131106:HJJ131135 HTF131106:HTF131135 IDB131106:IDB131135 IMX131106:IMX131135 IWT131106:IWT131135 JGP131106:JGP131135 JQL131106:JQL131135 KAH131106:KAH131135 KKD131106:KKD131135 KTZ131106:KTZ131135 LDV131106:LDV131135 LNR131106:LNR131135 LXN131106:LXN131135 MHJ131106:MHJ131135 MRF131106:MRF131135 NBB131106:NBB131135 NKX131106:NKX131135 NUT131106:NUT131135 OEP131106:OEP131135 OOL131106:OOL131135 OYH131106:OYH131135 PID131106:PID131135 PRZ131106:PRZ131135 QBV131106:QBV131135 QLR131106:QLR131135 QVN131106:QVN131135 RFJ131106:RFJ131135 RPF131106:RPF131135 RZB131106:RZB131135 SIX131106:SIX131135 SST131106:SST131135 TCP131106:TCP131135 TML131106:TML131135 TWH131106:TWH131135 UGD131106:UGD131135 UPZ131106:UPZ131135 UZV131106:UZV131135 VJR131106:VJR131135 VTN131106:VTN131135 WDJ131106:WDJ131135 WNF131106:WNF131135 AT196642:AT196671 KP196642:KP196671 UL196642:UL196671 AEH196642:AEH196671 AOD196642:AOD196671 AXZ196642:AXZ196671 BHV196642:BHV196671 BRR196642:BRR196671 CBN196642:CBN196671 CLJ196642:CLJ196671 CVF196642:CVF196671 DFB196642:DFB196671 DOX196642:DOX196671 DYT196642:DYT196671 EIP196642:EIP196671 ESL196642:ESL196671 FCH196642:FCH196671 FMD196642:FMD196671 FVZ196642:FVZ196671 GFV196642:GFV196671 GPR196642:GPR196671 GZN196642:GZN196671 HJJ196642:HJJ196671 HTF196642:HTF196671 IDB196642:IDB196671 IMX196642:IMX196671 IWT196642:IWT196671 JGP196642:JGP196671 JQL196642:JQL196671 KAH196642:KAH196671 KKD196642:KKD196671 KTZ196642:KTZ196671 LDV196642:LDV196671 LNR196642:LNR196671 LXN196642:LXN196671 MHJ196642:MHJ196671 MRF196642:MRF196671 NBB196642:NBB196671 NKX196642:NKX196671 NUT196642:NUT196671 OEP196642:OEP196671 OOL196642:OOL196671 OYH196642:OYH196671 PID196642:PID196671 PRZ196642:PRZ196671 QBV196642:QBV196671 QLR196642:QLR196671 QVN196642:QVN196671 RFJ196642:RFJ196671 RPF196642:RPF196671 RZB196642:RZB196671 SIX196642:SIX196671 SST196642:SST196671 TCP196642:TCP196671 TML196642:TML196671 TWH196642:TWH196671 UGD196642:UGD196671 UPZ196642:UPZ196671 UZV196642:UZV196671 VJR196642:VJR196671 VTN196642:VTN196671 WDJ196642:WDJ196671 WNF196642:WNF196671 AT262178:AT262207 KP262178:KP262207 UL262178:UL262207 AEH262178:AEH262207 AOD262178:AOD262207 AXZ262178:AXZ262207 BHV262178:BHV262207 BRR262178:BRR262207 CBN262178:CBN262207 CLJ262178:CLJ262207 CVF262178:CVF262207 DFB262178:DFB262207 DOX262178:DOX262207 DYT262178:DYT262207 EIP262178:EIP262207 ESL262178:ESL262207 FCH262178:FCH262207 FMD262178:FMD262207 FVZ262178:FVZ262207 GFV262178:GFV262207 GPR262178:GPR262207 GZN262178:GZN262207 HJJ262178:HJJ262207 HTF262178:HTF262207 IDB262178:IDB262207 IMX262178:IMX262207 IWT262178:IWT262207 JGP262178:JGP262207 JQL262178:JQL262207 KAH262178:KAH262207 KKD262178:KKD262207 KTZ262178:KTZ262207 LDV262178:LDV262207 LNR262178:LNR262207 LXN262178:LXN262207 MHJ262178:MHJ262207 MRF262178:MRF262207 NBB262178:NBB262207 NKX262178:NKX262207 NUT262178:NUT262207 OEP262178:OEP262207 OOL262178:OOL262207 OYH262178:OYH262207 PID262178:PID262207 PRZ262178:PRZ262207 QBV262178:QBV262207 QLR262178:QLR262207 QVN262178:QVN262207 RFJ262178:RFJ262207 RPF262178:RPF262207 RZB262178:RZB262207 SIX262178:SIX262207 SST262178:SST262207 TCP262178:TCP262207 TML262178:TML262207 TWH262178:TWH262207 UGD262178:UGD262207 UPZ262178:UPZ262207 UZV262178:UZV262207 VJR262178:VJR262207 VTN262178:VTN262207 WDJ262178:WDJ262207 WNF262178:WNF262207 AT327714:AT327743 KP327714:KP327743 UL327714:UL327743 AEH327714:AEH327743 AOD327714:AOD327743 AXZ327714:AXZ327743 BHV327714:BHV327743 BRR327714:BRR327743 CBN327714:CBN327743 CLJ327714:CLJ327743 CVF327714:CVF327743 DFB327714:DFB327743 DOX327714:DOX327743 DYT327714:DYT327743 EIP327714:EIP327743 ESL327714:ESL327743 FCH327714:FCH327743 FMD327714:FMD327743 FVZ327714:FVZ327743 GFV327714:GFV327743 GPR327714:GPR327743 GZN327714:GZN327743 HJJ327714:HJJ327743 HTF327714:HTF327743 IDB327714:IDB327743 IMX327714:IMX327743 IWT327714:IWT327743 JGP327714:JGP327743 JQL327714:JQL327743 KAH327714:KAH327743 KKD327714:KKD327743 KTZ327714:KTZ327743 LDV327714:LDV327743 LNR327714:LNR327743 LXN327714:LXN327743 MHJ327714:MHJ327743 MRF327714:MRF327743 NBB327714:NBB327743 NKX327714:NKX327743 NUT327714:NUT327743 OEP327714:OEP327743 OOL327714:OOL327743 OYH327714:OYH327743 PID327714:PID327743 PRZ327714:PRZ327743 QBV327714:QBV327743 QLR327714:QLR327743 QVN327714:QVN327743 RFJ327714:RFJ327743 RPF327714:RPF327743 RZB327714:RZB327743 SIX327714:SIX327743 SST327714:SST327743 TCP327714:TCP327743 TML327714:TML327743 TWH327714:TWH327743 UGD327714:UGD327743 UPZ327714:UPZ327743 UZV327714:UZV327743 VJR327714:VJR327743 VTN327714:VTN327743 WDJ327714:WDJ327743 WNF327714:WNF327743 AT393250:AT393279 KP393250:KP393279 UL393250:UL393279 AEH393250:AEH393279 AOD393250:AOD393279 AXZ393250:AXZ393279 BHV393250:BHV393279 BRR393250:BRR393279 CBN393250:CBN393279 CLJ393250:CLJ393279 CVF393250:CVF393279 DFB393250:DFB393279 DOX393250:DOX393279 DYT393250:DYT393279 EIP393250:EIP393279 ESL393250:ESL393279 FCH393250:FCH393279 FMD393250:FMD393279 FVZ393250:FVZ393279 GFV393250:GFV393279 GPR393250:GPR393279 GZN393250:GZN393279 HJJ393250:HJJ393279 HTF393250:HTF393279 IDB393250:IDB393279 IMX393250:IMX393279 IWT393250:IWT393279 JGP393250:JGP393279 JQL393250:JQL393279 KAH393250:KAH393279 KKD393250:KKD393279 KTZ393250:KTZ393279 LDV393250:LDV393279 LNR393250:LNR393279 LXN393250:LXN393279 MHJ393250:MHJ393279 MRF393250:MRF393279 NBB393250:NBB393279 NKX393250:NKX393279 NUT393250:NUT393279 OEP393250:OEP393279 OOL393250:OOL393279 OYH393250:OYH393279 PID393250:PID393279 PRZ393250:PRZ393279 QBV393250:QBV393279 QLR393250:QLR393279 QVN393250:QVN393279 RFJ393250:RFJ393279 RPF393250:RPF393279 RZB393250:RZB393279 SIX393250:SIX393279 SST393250:SST393279 TCP393250:TCP393279 TML393250:TML393279 TWH393250:TWH393279 UGD393250:UGD393279 UPZ393250:UPZ393279 UZV393250:UZV393279 VJR393250:VJR393279 VTN393250:VTN393279 WDJ393250:WDJ393279 WNF393250:WNF393279 AT458786:AT458815 KP458786:KP458815 UL458786:UL458815 AEH458786:AEH458815 AOD458786:AOD458815 AXZ458786:AXZ458815 BHV458786:BHV458815 BRR458786:BRR458815 CBN458786:CBN458815 CLJ458786:CLJ458815 CVF458786:CVF458815 DFB458786:DFB458815 DOX458786:DOX458815 DYT458786:DYT458815 EIP458786:EIP458815 ESL458786:ESL458815 FCH458786:FCH458815 FMD458786:FMD458815 FVZ458786:FVZ458815 GFV458786:GFV458815 GPR458786:GPR458815 GZN458786:GZN458815 HJJ458786:HJJ458815 HTF458786:HTF458815 IDB458786:IDB458815 IMX458786:IMX458815 IWT458786:IWT458815 JGP458786:JGP458815 JQL458786:JQL458815 KAH458786:KAH458815 KKD458786:KKD458815 KTZ458786:KTZ458815 LDV458786:LDV458815 LNR458786:LNR458815 LXN458786:LXN458815 MHJ458786:MHJ458815 MRF458786:MRF458815 NBB458786:NBB458815 NKX458786:NKX458815 NUT458786:NUT458815 OEP458786:OEP458815 OOL458786:OOL458815 OYH458786:OYH458815 PID458786:PID458815 PRZ458786:PRZ458815 QBV458786:QBV458815 QLR458786:QLR458815 QVN458786:QVN458815 RFJ458786:RFJ458815 RPF458786:RPF458815 RZB458786:RZB458815 SIX458786:SIX458815 SST458786:SST458815 TCP458786:TCP458815 TML458786:TML458815 TWH458786:TWH458815 UGD458786:UGD458815 UPZ458786:UPZ458815 UZV458786:UZV458815 VJR458786:VJR458815 VTN458786:VTN458815 WDJ458786:WDJ458815 WNF458786:WNF458815 AT524322:AT524351 KP524322:KP524351 UL524322:UL524351 AEH524322:AEH524351 AOD524322:AOD524351 AXZ524322:AXZ524351 BHV524322:BHV524351 BRR524322:BRR524351 CBN524322:CBN524351 CLJ524322:CLJ524351 CVF524322:CVF524351 DFB524322:DFB524351 DOX524322:DOX524351 DYT524322:DYT524351 EIP524322:EIP524351 ESL524322:ESL524351 FCH524322:FCH524351 FMD524322:FMD524351 FVZ524322:FVZ524351 GFV524322:GFV524351 GPR524322:GPR524351 GZN524322:GZN524351 HJJ524322:HJJ524351 HTF524322:HTF524351 IDB524322:IDB524351 IMX524322:IMX524351 IWT524322:IWT524351 JGP524322:JGP524351 JQL524322:JQL524351 KAH524322:KAH524351 KKD524322:KKD524351 KTZ524322:KTZ524351 LDV524322:LDV524351 LNR524322:LNR524351 LXN524322:LXN524351 MHJ524322:MHJ524351 MRF524322:MRF524351 NBB524322:NBB524351 NKX524322:NKX524351 NUT524322:NUT524351 OEP524322:OEP524351 OOL524322:OOL524351 OYH524322:OYH524351 PID524322:PID524351 PRZ524322:PRZ524351 QBV524322:QBV524351 QLR524322:QLR524351 QVN524322:QVN524351 RFJ524322:RFJ524351 RPF524322:RPF524351 RZB524322:RZB524351 SIX524322:SIX524351 SST524322:SST524351 TCP524322:TCP524351 TML524322:TML524351 TWH524322:TWH524351 UGD524322:UGD524351 UPZ524322:UPZ524351 UZV524322:UZV524351 VJR524322:VJR524351 VTN524322:VTN524351 WDJ524322:WDJ524351 WNF524322:WNF524351 AT589858:AT589887 KP589858:KP589887 UL589858:UL589887 AEH589858:AEH589887 AOD589858:AOD589887 AXZ589858:AXZ589887 BHV589858:BHV589887 BRR589858:BRR589887 CBN589858:CBN589887 CLJ589858:CLJ589887 CVF589858:CVF589887 DFB589858:DFB589887 DOX589858:DOX589887 DYT589858:DYT589887 EIP589858:EIP589887 ESL589858:ESL589887 FCH589858:FCH589887 FMD589858:FMD589887 FVZ589858:FVZ589887 GFV589858:GFV589887 GPR589858:GPR589887 GZN589858:GZN589887 HJJ589858:HJJ589887 HTF589858:HTF589887 IDB589858:IDB589887 IMX589858:IMX589887 IWT589858:IWT589887 JGP589858:JGP589887 JQL589858:JQL589887 KAH589858:KAH589887 KKD589858:KKD589887 KTZ589858:KTZ589887 LDV589858:LDV589887 LNR589858:LNR589887 LXN589858:LXN589887 MHJ589858:MHJ589887 MRF589858:MRF589887 NBB589858:NBB589887 NKX589858:NKX589887 NUT589858:NUT589887 OEP589858:OEP589887 OOL589858:OOL589887 OYH589858:OYH589887 PID589858:PID589887 PRZ589858:PRZ589887 QBV589858:QBV589887 QLR589858:QLR589887 QVN589858:QVN589887 RFJ589858:RFJ589887 RPF589858:RPF589887 RZB589858:RZB589887 SIX589858:SIX589887 SST589858:SST589887 TCP589858:TCP589887 TML589858:TML589887 TWH589858:TWH589887 UGD589858:UGD589887 UPZ589858:UPZ589887 UZV589858:UZV589887 VJR589858:VJR589887 VTN589858:VTN589887 WDJ589858:WDJ589887 WNF589858:WNF589887 AT655394:AT655423 KP655394:KP655423 UL655394:UL655423 AEH655394:AEH655423 AOD655394:AOD655423 AXZ655394:AXZ655423 BHV655394:BHV655423 BRR655394:BRR655423 CBN655394:CBN655423 CLJ655394:CLJ655423 CVF655394:CVF655423 DFB655394:DFB655423 DOX655394:DOX655423 DYT655394:DYT655423 EIP655394:EIP655423 ESL655394:ESL655423 FCH655394:FCH655423 FMD655394:FMD655423 FVZ655394:FVZ655423 GFV655394:GFV655423 GPR655394:GPR655423 GZN655394:GZN655423 HJJ655394:HJJ655423 HTF655394:HTF655423 IDB655394:IDB655423 IMX655394:IMX655423 IWT655394:IWT655423 JGP655394:JGP655423 JQL655394:JQL655423 KAH655394:KAH655423 KKD655394:KKD655423 KTZ655394:KTZ655423 LDV655394:LDV655423 LNR655394:LNR655423 LXN655394:LXN655423 MHJ655394:MHJ655423 MRF655394:MRF655423 NBB655394:NBB655423 NKX655394:NKX655423 NUT655394:NUT655423 OEP655394:OEP655423 OOL655394:OOL655423 OYH655394:OYH655423 PID655394:PID655423 PRZ655394:PRZ655423 QBV655394:QBV655423 QLR655394:QLR655423 QVN655394:QVN655423 RFJ655394:RFJ655423 RPF655394:RPF655423 RZB655394:RZB655423 SIX655394:SIX655423 SST655394:SST655423 TCP655394:TCP655423 TML655394:TML655423 TWH655394:TWH655423 UGD655394:UGD655423 UPZ655394:UPZ655423 UZV655394:UZV655423 VJR655394:VJR655423 VTN655394:VTN655423 WDJ655394:WDJ655423 WNF655394:WNF655423 AT720930:AT720959 KP720930:KP720959 UL720930:UL720959 AEH720930:AEH720959 AOD720930:AOD720959 AXZ720930:AXZ720959 BHV720930:BHV720959 BRR720930:BRR720959 CBN720930:CBN720959 CLJ720930:CLJ720959 CVF720930:CVF720959 DFB720930:DFB720959 DOX720930:DOX720959 DYT720930:DYT720959 EIP720930:EIP720959 ESL720930:ESL720959 FCH720930:FCH720959 FMD720930:FMD720959 FVZ720930:FVZ720959 GFV720930:GFV720959 GPR720930:GPR720959 GZN720930:GZN720959 HJJ720930:HJJ720959 HTF720930:HTF720959 IDB720930:IDB720959 IMX720930:IMX720959 IWT720930:IWT720959 JGP720930:JGP720959 JQL720930:JQL720959 KAH720930:KAH720959 KKD720930:KKD720959 KTZ720930:KTZ720959 LDV720930:LDV720959 LNR720930:LNR720959 LXN720930:LXN720959 MHJ720930:MHJ720959 MRF720930:MRF720959 NBB720930:NBB720959 NKX720930:NKX720959 NUT720930:NUT720959 OEP720930:OEP720959 OOL720930:OOL720959 OYH720930:OYH720959 PID720930:PID720959 PRZ720930:PRZ720959 QBV720930:QBV720959 QLR720930:QLR720959 QVN720930:QVN720959 RFJ720930:RFJ720959 RPF720930:RPF720959 RZB720930:RZB720959 SIX720930:SIX720959 SST720930:SST720959 TCP720930:TCP720959 TML720930:TML720959 TWH720930:TWH720959 UGD720930:UGD720959 UPZ720930:UPZ720959 UZV720930:UZV720959 VJR720930:VJR720959 VTN720930:VTN720959 WDJ720930:WDJ720959 WNF720930:WNF720959 AT786466:AT786495 KP786466:KP786495 UL786466:UL786495 AEH786466:AEH786495 AOD786466:AOD786495 AXZ786466:AXZ786495 BHV786466:BHV786495 BRR786466:BRR786495 CBN786466:CBN786495 CLJ786466:CLJ786495 CVF786466:CVF786495 DFB786466:DFB786495 DOX786466:DOX786495 DYT786466:DYT786495 EIP786466:EIP786495 ESL786466:ESL786495 FCH786466:FCH786495 FMD786466:FMD786495 FVZ786466:FVZ786495 GFV786466:GFV786495 GPR786466:GPR786495 GZN786466:GZN786495 HJJ786466:HJJ786495 HTF786466:HTF786495 IDB786466:IDB786495 IMX786466:IMX786495 IWT786466:IWT786495 JGP786466:JGP786495 JQL786466:JQL786495 KAH786466:KAH786495 KKD786466:KKD786495 KTZ786466:KTZ786495 LDV786466:LDV786495 LNR786466:LNR786495 LXN786466:LXN786495 MHJ786466:MHJ786495 MRF786466:MRF786495 NBB786466:NBB786495 NKX786466:NKX786495 NUT786466:NUT786495 OEP786466:OEP786495 OOL786466:OOL786495 OYH786466:OYH786495 PID786466:PID786495 PRZ786466:PRZ786495 QBV786466:QBV786495 QLR786466:QLR786495 QVN786466:QVN786495 RFJ786466:RFJ786495 RPF786466:RPF786495 RZB786466:RZB786495 SIX786466:SIX786495 SST786466:SST786495 TCP786466:TCP786495 TML786466:TML786495 TWH786466:TWH786495 UGD786466:UGD786495 UPZ786466:UPZ786495 UZV786466:UZV786495 VJR786466:VJR786495 VTN786466:VTN786495 WDJ786466:WDJ786495 WNF786466:WNF786495 AT852002:AT852031 KP852002:KP852031 UL852002:UL852031 AEH852002:AEH852031 AOD852002:AOD852031 AXZ852002:AXZ852031 BHV852002:BHV852031 BRR852002:BRR852031 CBN852002:CBN852031 CLJ852002:CLJ852031 CVF852002:CVF852031 DFB852002:DFB852031 DOX852002:DOX852031 DYT852002:DYT852031 EIP852002:EIP852031 ESL852002:ESL852031 FCH852002:FCH852031 FMD852002:FMD852031 FVZ852002:FVZ852031 GFV852002:GFV852031 GPR852002:GPR852031 GZN852002:GZN852031 HJJ852002:HJJ852031 HTF852002:HTF852031 IDB852002:IDB852031 IMX852002:IMX852031 IWT852002:IWT852031 JGP852002:JGP852031 JQL852002:JQL852031 KAH852002:KAH852031 KKD852002:KKD852031 KTZ852002:KTZ852031 LDV852002:LDV852031 LNR852002:LNR852031 LXN852002:LXN852031 MHJ852002:MHJ852031 MRF852002:MRF852031 NBB852002:NBB852031 NKX852002:NKX852031 NUT852002:NUT852031 OEP852002:OEP852031 OOL852002:OOL852031 OYH852002:OYH852031 PID852002:PID852031 PRZ852002:PRZ852031 QBV852002:QBV852031 QLR852002:QLR852031 QVN852002:QVN852031 RFJ852002:RFJ852031 RPF852002:RPF852031 RZB852002:RZB852031 SIX852002:SIX852031 SST852002:SST852031 TCP852002:TCP852031 TML852002:TML852031 TWH852002:TWH852031 UGD852002:UGD852031 UPZ852002:UPZ852031 UZV852002:UZV852031 VJR852002:VJR852031 VTN852002:VTN852031 WDJ852002:WDJ852031 WNF852002:WNF852031 AT917538:AT917567 KP917538:KP917567 UL917538:UL917567 AEH917538:AEH917567 AOD917538:AOD917567 AXZ917538:AXZ917567 BHV917538:BHV917567 BRR917538:BRR917567 CBN917538:CBN917567 CLJ917538:CLJ917567 CVF917538:CVF917567 DFB917538:DFB917567 DOX917538:DOX917567 DYT917538:DYT917567 EIP917538:EIP917567 ESL917538:ESL917567 FCH917538:FCH917567 FMD917538:FMD917567 FVZ917538:FVZ917567 GFV917538:GFV917567 GPR917538:GPR917567 GZN917538:GZN917567 HJJ917538:HJJ917567 HTF917538:HTF917567 IDB917538:IDB917567 IMX917538:IMX917567 IWT917538:IWT917567 JGP917538:JGP917567 JQL917538:JQL917567 KAH917538:KAH917567 KKD917538:KKD917567 KTZ917538:KTZ917567 LDV917538:LDV917567 LNR917538:LNR917567 LXN917538:LXN917567 MHJ917538:MHJ917567 MRF917538:MRF917567 NBB917538:NBB917567 NKX917538:NKX917567 NUT917538:NUT917567 OEP917538:OEP917567 OOL917538:OOL917567 OYH917538:OYH917567 PID917538:PID917567 PRZ917538:PRZ917567 QBV917538:QBV917567 QLR917538:QLR917567 QVN917538:QVN917567 RFJ917538:RFJ917567 RPF917538:RPF917567 RZB917538:RZB917567 SIX917538:SIX917567 SST917538:SST917567 TCP917538:TCP917567 TML917538:TML917567 TWH917538:TWH917567 UGD917538:UGD917567 UPZ917538:UPZ917567 UZV917538:UZV917567 VJR917538:VJR917567 VTN917538:VTN917567 WDJ917538:WDJ917567 WNF917538:WNF917567 AT983074:AT983103 KP983074:KP983103 UL983074:UL983103 AEH983074:AEH983103 AOD983074:AOD983103 AXZ983074:AXZ983103 BHV983074:BHV983103 BRR983074:BRR983103 CBN983074:CBN983103 CLJ983074:CLJ983103 CVF983074:CVF983103 DFB983074:DFB983103 DOX983074:DOX983103 DYT983074:DYT983103 EIP983074:EIP983103 ESL983074:ESL983103 FCH983074:FCH983103 FMD983074:FMD983103 FVZ983074:FVZ983103 GFV983074:GFV983103 GPR983074:GPR983103 GZN983074:GZN983103 HJJ983074:HJJ983103 HTF983074:HTF983103 IDB983074:IDB983103 IMX983074:IMX983103 IWT983074:IWT983103 JGP983074:JGP983103 JQL983074:JQL983103 KAH983074:KAH983103 KKD983074:KKD983103 KTZ983074:KTZ983103 LDV983074:LDV983103 LNR983074:LNR983103 LXN983074:LXN983103 MHJ983074:MHJ983103 MRF983074:MRF983103 NBB983074:NBB983103 NKX983074:NKX983103 NUT983074:NUT983103 OEP983074:OEP983103 OOL983074:OOL983103 OYH983074:OYH983103 PID983074:PID983103 PRZ983074:PRZ983103 QBV983074:QBV983103 QLR983074:QLR983103 QVN983074:QVN983103 RFJ983074:RFJ983103 RPF983074:RPF983103 RZB983074:RZB983103 SIX983074:SIX983103 SST983074:SST983103 TCP983074:TCP983103 TML983074:TML983103 TWH983074:TWH983103 UGD983074:UGD983103 UPZ983074:UPZ983103 UZV983074:UZV983103 VJR983074:VJR983103 VTN983074:VTN983103 WDJ983074:WDJ983103 WDF7:WDF66 WNB7:WNB66 AP7:AP66 KL7:KL66 UH7:UH66 AED7:AED66 ANZ7:ANZ66 AXV7:AXV66 BHR7:BHR66 BRN7:BRN66 CBJ7:CBJ66 CLF7:CLF66 CVB7:CVB66 DEX7:DEX66 DOT7:DOT66 DYP7:DYP66 EIL7:EIL66 ESH7:ESH66 FCD7:FCD66 FLZ7:FLZ66 FVV7:FVV66 GFR7:GFR66 GPN7:GPN66 GZJ7:GZJ66 HJF7:HJF66 HTB7:HTB66 ICX7:ICX66 IMT7:IMT66 IWP7:IWP66 JGL7:JGL66 JQH7:JQH66 KAD7:KAD66 KJZ7:KJZ66 KTV7:KTV66 LDR7:LDR66 LNN7:LNN66 LXJ7:LXJ66 MHF7:MHF66 MRB7:MRB66 NAX7:NAX66 NKT7:NKT66 NUP7:NUP66 OEL7:OEL66 OOH7:OOH66 OYD7:OYD66 PHZ7:PHZ66 PRV7:PRV66 QBR7:QBR66 QLN7:QLN66 QVJ7:QVJ66 RFF7:RFF66 RPB7:RPB66 RYX7:RYX66 SIT7:SIT66 SSP7:SSP66 TCL7:TCL66 TMH7:TMH66 TWD7:TWD66 UFZ7:UFZ66 UPV7:UPV66 UZR7:UZR66 VJN7:VJN66 VTJ7:VTJ66" xr:uid="{838E78F2-783C-433A-B3B0-B785667219EB}">
      <formula1>"จันทราภรณ์, รัฏฏิการ์, คชเขม, มาร์ค,สมเด็"</formula1>
    </dataValidation>
  </dataValidations>
  <printOptions horizontalCentered="1"/>
  <pageMargins left="0.23622047244094491" right="0.11811023622047245" top="0.39370078740157483" bottom="0.23622047244094491" header="0.39370078740157483" footer="0.31496062992125984"/>
  <pageSetup paperSize="8" scale="29" fitToHeight="2" orientation="landscape" r:id="rId1"/>
  <headerFooter alignWithMargins="0"/>
  <ignoredErrors>
    <ignoredError sqref="AM67 AD67" unlockedFormula="1"/>
  </ignoredErrors>
  <tableParts count="1">
    <tablePart r:id="rId2"/>
  </tableParts>
  <extLst>
    <ext xmlns:x14="http://schemas.microsoft.com/office/spreadsheetml/2009/9/main" uri="{CCE6A557-97BC-4b89-ADB6-D9C93CAAB3DF}">
      <x14:dataValidations xmlns:xm="http://schemas.microsoft.com/office/excel/2006/main" count="3">
        <x14:dataValidation type="list" allowBlank="1" showInputMessage="1" showErrorMessage="1" xr:uid="{4E7F0564-84BE-4DDD-AEAC-5A1FDC367F41}">
          <x14:formula1>
            <xm:f>Ref!$B$2:$B$18</xm:f>
          </x14:formula1>
          <xm:sqref>E47 E35 E7 E51 E55 E59 E63 E31 E11 E15 E23 E27 E19 E39 E43</xm:sqref>
        </x14:dataValidation>
        <x14:dataValidation type="list" allowBlank="1" showInputMessage="1" showErrorMessage="1" xr:uid="{5BF4A911-C3A6-4585-85E2-A5F3557B19DD}">
          <x14:formula1>
            <xm:f>Ref!$D$2:$D$3</xm:f>
          </x14:formula1>
          <xm:sqref>L7 L35 L47 L51 L55 L59 L63 W7 AF7 W35 W47 W51 W55 W59 W63 AF35 AF47 AF51 AF55 AF59 AF63 L31 W31 AF31 L11 W11 AF11 L15 W15 AF15 L23 W23:W24 AF23 L27 W27 AF27 L19:L20 W19 AF19 L39 W39 AF39 L43 W43:W45 AF43</xm:sqref>
        </x14:dataValidation>
        <x14:dataValidation type="list" allowBlank="1" showInputMessage="1" showErrorMessage="1" xr:uid="{6070C04B-CD25-4340-BB4C-216D792EDCD6}">
          <x14:formula1>
            <xm:f>Ref!$C$2:$C$16</xm:f>
          </x14:formula1>
          <xm:sqref>F63 F59 F55 F51 F47 F35 F7 F31 F11 F15 F23 F27 F19 F39 F43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E736E2-5906-4F5B-9831-185895FA3729}">
  <sheetPr codeName="Sheet4">
    <tabColor rgb="FF92D050"/>
    <pageSetUpPr fitToPage="1"/>
  </sheetPr>
  <dimension ref="A1:WWE189"/>
  <sheetViews>
    <sheetView zoomScale="85" zoomScaleNormal="85" workbookViewId="0">
      <selection activeCell="L13" sqref="L13"/>
    </sheetView>
  </sheetViews>
  <sheetFormatPr defaultColWidth="0" defaultRowHeight="0" customHeight="1" zeroHeight="1"/>
  <cols>
    <col min="1" max="1" width="6.88671875" style="58" customWidth="1"/>
    <col min="2" max="2" width="27.33203125" style="58" customWidth="1"/>
    <col min="3" max="3" width="27.44140625" style="58" bestFit="1" customWidth="1"/>
    <col min="4" max="4" width="29" style="58" customWidth="1"/>
    <col min="5" max="5" width="15.88671875" style="67" bestFit="1" customWidth="1"/>
    <col min="6" max="6" width="15.88671875" style="67" customWidth="1"/>
    <col min="7" max="7" width="16.5546875" style="67" bestFit="1" customWidth="1"/>
    <col min="8" max="8" width="15.88671875" style="67" customWidth="1"/>
    <col min="9" max="9" width="19.5546875" style="67" customWidth="1"/>
    <col min="10" max="10" width="15.77734375" style="58" customWidth="1"/>
    <col min="11" max="11" width="16.44140625" style="58" customWidth="1"/>
    <col min="12" max="12" width="14.5546875" style="58" customWidth="1"/>
    <col min="13" max="15" width="15.77734375" style="58" hidden="1" customWidth="1"/>
    <col min="16" max="17" width="8" style="58" hidden="1" customWidth="1"/>
    <col min="18" max="257" width="9.109375" style="58" hidden="1"/>
    <col min="258" max="258" width="11" style="58" hidden="1" customWidth="1"/>
    <col min="259" max="259" width="24" style="58" hidden="1" customWidth="1"/>
    <col min="260" max="260" width="14" style="58" hidden="1" customWidth="1"/>
    <col min="261" max="261" width="14.109375" style="58" hidden="1" customWidth="1"/>
    <col min="262" max="262" width="13" style="58" hidden="1" customWidth="1"/>
    <col min="263" max="263" width="14" style="58" hidden="1" customWidth="1"/>
    <col min="264" max="264" width="15" style="58" hidden="1" customWidth="1"/>
    <col min="265" max="265" width="15.21875" style="58" hidden="1" customWidth="1"/>
    <col min="266" max="266" width="1.88671875" style="58" customWidth="1"/>
    <col min="267" max="267" width="10.5546875" style="58" customWidth="1"/>
    <col min="268" max="272" width="8" style="58" customWidth="1"/>
    <col min="273" max="512" width="9.109375" style="58" hidden="1"/>
    <col min="513" max="513" width="6.88671875" style="58" customWidth="1"/>
    <col min="514" max="514" width="23.33203125" style="58" customWidth="1"/>
    <col min="515" max="515" width="42.88671875" style="58" customWidth="1"/>
    <col min="516" max="516" width="14" style="58" customWidth="1"/>
    <col min="517" max="517" width="14.109375" style="58" customWidth="1"/>
    <col min="518" max="518" width="13" style="58" customWidth="1"/>
    <col min="519" max="519" width="14" style="58" customWidth="1"/>
    <col min="520" max="520" width="15" style="58" customWidth="1"/>
    <col min="521" max="521" width="15.21875" style="58" customWidth="1"/>
    <col min="522" max="522" width="1.88671875" style="58" customWidth="1"/>
    <col min="523" max="523" width="10.5546875" style="58" customWidth="1"/>
    <col min="524" max="528" width="8" style="58" customWidth="1"/>
    <col min="529" max="768" width="9.109375" style="58" hidden="1"/>
    <col min="769" max="769" width="6.88671875" style="58" customWidth="1"/>
    <col min="770" max="770" width="23.33203125" style="58" customWidth="1"/>
    <col min="771" max="771" width="42.88671875" style="58" customWidth="1"/>
    <col min="772" max="772" width="14" style="58" customWidth="1"/>
    <col min="773" max="773" width="14.109375" style="58" customWidth="1"/>
    <col min="774" max="774" width="13" style="58" customWidth="1"/>
    <col min="775" max="775" width="14" style="58" customWidth="1"/>
    <col min="776" max="776" width="15" style="58" customWidth="1"/>
    <col min="777" max="777" width="15.21875" style="58" customWidth="1"/>
    <col min="778" max="778" width="1.88671875" style="58" customWidth="1"/>
    <col min="779" max="779" width="10.5546875" style="58" customWidth="1"/>
    <col min="780" max="784" width="8" style="58" customWidth="1"/>
    <col min="785" max="1024" width="9.109375" style="58" hidden="1"/>
    <col min="1025" max="1025" width="6.88671875" style="58" customWidth="1"/>
    <col min="1026" max="1026" width="23.33203125" style="58" customWidth="1"/>
    <col min="1027" max="1027" width="42.88671875" style="58" customWidth="1"/>
    <col min="1028" max="1028" width="14" style="58" customWidth="1"/>
    <col min="1029" max="1029" width="14.109375" style="58" customWidth="1"/>
    <col min="1030" max="1030" width="13" style="58" customWidth="1"/>
    <col min="1031" max="1031" width="14" style="58" customWidth="1"/>
    <col min="1032" max="1032" width="15" style="58" customWidth="1"/>
    <col min="1033" max="1033" width="15.21875" style="58" customWidth="1"/>
    <col min="1034" max="1034" width="1.88671875" style="58" customWidth="1"/>
    <col min="1035" max="1035" width="10.5546875" style="58" customWidth="1"/>
    <col min="1036" max="1040" width="8" style="58" customWidth="1"/>
    <col min="1041" max="1280" width="9.109375" style="58" hidden="1"/>
    <col min="1281" max="1281" width="6.88671875" style="58" customWidth="1"/>
    <col min="1282" max="1282" width="23.33203125" style="58" customWidth="1"/>
    <col min="1283" max="1283" width="42.88671875" style="58" customWidth="1"/>
    <col min="1284" max="1284" width="14" style="58" customWidth="1"/>
    <col min="1285" max="1285" width="14.109375" style="58" customWidth="1"/>
    <col min="1286" max="1286" width="13" style="58" customWidth="1"/>
    <col min="1287" max="1287" width="14" style="58" customWidth="1"/>
    <col min="1288" max="1288" width="15" style="58" customWidth="1"/>
    <col min="1289" max="1289" width="15.21875" style="58" customWidth="1"/>
    <col min="1290" max="1290" width="1.88671875" style="58" customWidth="1"/>
    <col min="1291" max="1291" width="10.5546875" style="58" customWidth="1"/>
    <col min="1292" max="1296" width="8" style="58" customWidth="1"/>
    <col min="1297" max="1536" width="9.109375" style="58" hidden="1"/>
    <col min="1537" max="1537" width="6.88671875" style="58" customWidth="1"/>
    <col min="1538" max="1538" width="23.33203125" style="58" customWidth="1"/>
    <col min="1539" max="1539" width="42.88671875" style="58" customWidth="1"/>
    <col min="1540" max="1540" width="14" style="58" customWidth="1"/>
    <col min="1541" max="1541" width="14.109375" style="58" customWidth="1"/>
    <col min="1542" max="1542" width="13" style="58" customWidth="1"/>
    <col min="1543" max="1543" width="14" style="58" customWidth="1"/>
    <col min="1544" max="1544" width="15" style="58" customWidth="1"/>
    <col min="1545" max="1545" width="15.21875" style="58" customWidth="1"/>
    <col min="1546" max="1546" width="1.88671875" style="58" customWidth="1"/>
    <col min="1547" max="1547" width="10.5546875" style="58" customWidth="1"/>
    <col min="1548" max="1552" width="8" style="58" customWidth="1"/>
    <col min="1553" max="1792" width="9.109375" style="58" hidden="1"/>
    <col min="1793" max="1793" width="6.88671875" style="58" customWidth="1"/>
    <col min="1794" max="1794" width="23.33203125" style="58" customWidth="1"/>
    <col min="1795" max="1795" width="42.88671875" style="58" customWidth="1"/>
    <col min="1796" max="1796" width="14" style="58" customWidth="1"/>
    <col min="1797" max="1797" width="14.109375" style="58" customWidth="1"/>
    <col min="1798" max="1798" width="13" style="58" customWidth="1"/>
    <col min="1799" max="1799" width="14" style="58" customWidth="1"/>
    <col min="1800" max="1800" width="15" style="58" customWidth="1"/>
    <col min="1801" max="1801" width="15.21875" style="58" customWidth="1"/>
    <col min="1802" max="1802" width="1.88671875" style="58" customWidth="1"/>
    <col min="1803" max="1803" width="10.5546875" style="58" customWidth="1"/>
    <col min="1804" max="1808" width="8" style="58" customWidth="1"/>
    <col min="1809" max="2048" width="9.109375" style="58" hidden="1"/>
    <col min="2049" max="2049" width="6.88671875" style="58" customWidth="1"/>
    <col min="2050" max="2050" width="23.33203125" style="58" customWidth="1"/>
    <col min="2051" max="2051" width="42.88671875" style="58" customWidth="1"/>
    <col min="2052" max="2052" width="14" style="58" customWidth="1"/>
    <col min="2053" max="2053" width="14.109375" style="58" customWidth="1"/>
    <col min="2054" max="2054" width="13" style="58" customWidth="1"/>
    <col min="2055" max="2055" width="14" style="58" customWidth="1"/>
    <col min="2056" max="2056" width="15" style="58" customWidth="1"/>
    <col min="2057" max="2057" width="15.21875" style="58" customWidth="1"/>
    <col min="2058" max="2058" width="1.88671875" style="58" customWidth="1"/>
    <col min="2059" max="2059" width="10.5546875" style="58" customWidth="1"/>
    <col min="2060" max="2064" width="8" style="58" customWidth="1"/>
    <col min="2065" max="2304" width="9.109375" style="58" hidden="1"/>
    <col min="2305" max="2305" width="6.88671875" style="58" customWidth="1"/>
    <col min="2306" max="2306" width="23.33203125" style="58" customWidth="1"/>
    <col min="2307" max="2307" width="42.88671875" style="58" customWidth="1"/>
    <col min="2308" max="2308" width="14" style="58" customWidth="1"/>
    <col min="2309" max="2309" width="14.109375" style="58" customWidth="1"/>
    <col min="2310" max="2310" width="13" style="58" customWidth="1"/>
    <col min="2311" max="2311" width="14" style="58" customWidth="1"/>
    <col min="2312" max="2312" width="15" style="58" customWidth="1"/>
    <col min="2313" max="2313" width="15.21875" style="58" customWidth="1"/>
    <col min="2314" max="2314" width="1.88671875" style="58" customWidth="1"/>
    <col min="2315" max="2315" width="10.5546875" style="58" customWidth="1"/>
    <col min="2316" max="2320" width="8" style="58" customWidth="1"/>
    <col min="2321" max="2560" width="9.109375" style="58" hidden="1"/>
    <col min="2561" max="2561" width="6.88671875" style="58" customWidth="1"/>
    <col min="2562" max="2562" width="23.33203125" style="58" customWidth="1"/>
    <col min="2563" max="2563" width="42.88671875" style="58" customWidth="1"/>
    <col min="2564" max="2564" width="14" style="58" customWidth="1"/>
    <col min="2565" max="2565" width="14.109375" style="58" customWidth="1"/>
    <col min="2566" max="2566" width="13" style="58" customWidth="1"/>
    <col min="2567" max="2567" width="14" style="58" customWidth="1"/>
    <col min="2568" max="2568" width="15" style="58" customWidth="1"/>
    <col min="2569" max="2569" width="15.21875" style="58" customWidth="1"/>
    <col min="2570" max="2570" width="1.88671875" style="58" customWidth="1"/>
    <col min="2571" max="2571" width="10.5546875" style="58" customWidth="1"/>
    <col min="2572" max="2576" width="8" style="58" customWidth="1"/>
    <col min="2577" max="2816" width="9.109375" style="58" hidden="1"/>
    <col min="2817" max="2817" width="6.88671875" style="58" customWidth="1"/>
    <col min="2818" max="2818" width="23.33203125" style="58" customWidth="1"/>
    <col min="2819" max="2819" width="42.88671875" style="58" customWidth="1"/>
    <col min="2820" max="2820" width="14" style="58" customWidth="1"/>
    <col min="2821" max="2821" width="14.109375" style="58" customWidth="1"/>
    <col min="2822" max="2822" width="13" style="58" customWidth="1"/>
    <col min="2823" max="2823" width="14" style="58" customWidth="1"/>
    <col min="2824" max="2824" width="15" style="58" customWidth="1"/>
    <col min="2825" max="2825" width="15.21875" style="58" customWidth="1"/>
    <col min="2826" max="2826" width="1.88671875" style="58" customWidth="1"/>
    <col min="2827" max="2827" width="10.5546875" style="58" customWidth="1"/>
    <col min="2828" max="2832" width="8" style="58" customWidth="1"/>
    <col min="2833" max="3072" width="9.109375" style="58" hidden="1"/>
    <col min="3073" max="3073" width="6.88671875" style="58" customWidth="1"/>
    <col min="3074" max="3074" width="23.33203125" style="58" customWidth="1"/>
    <col min="3075" max="3075" width="42.88671875" style="58" customWidth="1"/>
    <col min="3076" max="3076" width="14" style="58" customWidth="1"/>
    <col min="3077" max="3077" width="14.109375" style="58" customWidth="1"/>
    <col min="3078" max="3078" width="13" style="58" customWidth="1"/>
    <col min="3079" max="3079" width="14" style="58" customWidth="1"/>
    <col min="3080" max="3080" width="15" style="58" customWidth="1"/>
    <col min="3081" max="3081" width="15.21875" style="58" customWidth="1"/>
    <col min="3082" max="3082" width="1.88671875" style="58" customWidth="1"/>
    <col min="3083" max="3083" width="10.5546875" style="58" customWidth="1"/>
    <col min="3084" max="3088" width="8" style="58" customWidth="1"/>
    <col min="3089" max="3328" width="9.109375" style="58" hidden="1"/>
    <col min="3329" max="3329" width="6.88671875" style="58" customWidth="1"/>
    <col min="3330" max="3330" width="23.33203125" style="58" customWidth="1"/>
    <col min="3331" max="3331" width="42.88671875" style="58" customWidth="1"/>
    <col min="3332" max="3332" width="14" style="58" customWidth="1"/>
    <col min="3333" max="3333" width="14.109375" style="58" customWidth="1"/>
    <col min="3334" max="3334" width="13" style="58" customWidth="1"/>
    <col min="3335" max="3335" width="14" style="58" customWidth="1"/>
    <col min="3336" max="3336" width="15" style="58" customWidth="1"/>
    <col min="3337" max="3337" width="15.21875" style="58" customWidth="1"/>
    <col min="3338" max="3338" width="1.88671875" style="58" customWidth="1"/>
    <col min="3339" max="3339" width="10.5546875" style="58" customWidth="1"/>
    <col min="3340" max="3344" width="8" style="58" customWidth="1"/>
    <col min="3345" max="3584" width="9.109375" style="58" hidden="1"/>
    <col min="3585" max="3585" width="6.88671875" style="58" customWidth="1"/>
    <col min="3586" max="3586" width="23.33203125" style="58" customWidth="1"/>
    <col min="3587" max="3587" width="42.88671875" style="58" customWidth="1"/>
    <col min="3588" max="3588" width="14" style="58" customWidth="1"/>
    <col min="3589" max="3589" width="14.109375" style="58" customWidth="1"/>
    <col min="3590" max="3590" width="13" style="58" customWidth="1"/>
    <col min="3591" max="3591" width="14" style="58" customWidth="1"/>
    <col min="3592" max="3592" width="15" style="58" customWidth="1"/>
    <col min="3593" max="3593" width="15.21875" style="58" customWidth="1"/>
    <col min="3594" max="3594" width="1.88671875" style="58" customWidth="1"/>
    <col min="3595" max="3595" width="10.5546875" style="58" customWidth="1"/>
    <col min="3596" max="3600" width="8" style="58" customWidth="1"/>
    <col min="3601" max="3840" width="9.109375" style="58" hidden="1"/>
    <col min="3841" max="3841" width="6.88671875" style="58" customWidth="1"/>
    <col min="3842" max="3842" width="23.33203125" style="58" customWidth="1"/>
    <col min="3843" max="3843" width="42.88671875" style="58" customWidth="1"/>
    <col min="3844" max="3844" width="14" style="58" customWidth="1"/>
    <col min="3845" max="3845" width="14.109375" style="58" customWidth="1"/>
    <col min="3846" max="3846" width="13" style="58" customWidth="1"/>
    <col min="3847" max="3847" width="14" style="58" customWidth="1"/>
    <col min="3848" max="3848" width="15" style="58" customWidth="1"/>
    <col min="3849" max="3849" width="15.21875" style="58" customWidth="1"/>
    <col min="3850" max="3850" width="1.88671875" style="58" customWidth="1"/>
    <col min="3851" max="3851" width="10.5546875" style="58" customWidth="1"/>
    <col min="3852" max="3856" width="8" style="58" customWidth="1"/>
    <col min="3857" max="4096" width="9.109375" style="58" hidden="1"/>
    <col min="4097" max="4097" width="6.88671875" style="58" customWidth="1"/>
    <col min="4098" max="4098" width="23.33203125" style="58" customWidth="1"/>
    <col min="4099" max="4099" width="42.88671875" style="58" customWidth="1"/>
    <col min="4100" max="4100" width="14" style="58" customWidth="1"/>
    <col min="4101" max="4101" width="14.109375" style="58" customWidth="1"/>
    <col min="4102" max="4102" width="13" style="58" customWidth="1"/>
    <col min="4103" max="4103" width="14" style="58" customWidth="1"/>
    <col min="4104" max="4104" width="15" style="58" customWidth="1"/>
    <col min="4105" max="4105" width="15.21875" style="58" customWidth="1"/>
    <col min="4106" max="4106" width="1.88671875" style="58" customWidth="1"/>
    <col min="4107" max="4107" width="10.5546875" style="58" customWidth="1"/>
    <col min="4108" max="4112" width="8" style="58" customWidth="1"/>
    <col min="4113" max="4352" width="9.109375" style="58" hidden="1"/>
    <col min="4353" max="4353" width="6.88671875" style="58" customWidth="1"/>
    <col min="4354" max="4354" width="23.33203125" style="58" customWidth="1"/>
    <col min="4355" max="4355" width="42.88671875" style="58" customWidth="1"/>
    <col min="4356" max="4356" width="14" style="58" customWidth="1"/>
    <col min="4357" max="4357" width="14.109375" style="58" customWidth="1"/>
    <col min="4358" max="4358" width="13" style="58" customWidth="1"/>
    <col min="4359" max="4359" width="14" style="58" customWidth="1"/>
    <col min="4360" max="4360" width="15" style="58" customWidth="1"/>
    <col min="4361" max="4361" width="15.21875" style="58" customWidth="1"/>
    <col min="4362" max="4362" width="1.88671875" style="58" customWidth="1"/>
    <col min="4363" max="4363" width="10.5546875" style="58" customWidth="1"/>
    <col min="4364" max="4368" width="8" style="58" customWidth="1"/>
    <col min="4369" max="4608" width="9.109375" style="58" hidden="1"/>
    <col min="4609" max="4609" width="6.88671875" style="58" customWidth="1"/>
    <col min="4610" max="4610" width="23.33203125" style="58" customWidth="1"/>
    <col min="4611" max="4611" width="42.88671875" style="58" customWidth="1"/>
    <col min="4612" max="4612" width="14" style="58" customWidth="1"/>
    <col min="4613" max="4613" width="14.109375" style="58" customWidth="1"/>
    <col min="4614" max="4614" width="13" style="58" customWidth="1"/>
    <col min="4615" max="4615" width="14" style="58" customWidth="1"/>
    <col min="4616" max="4616" width="15" style="58" customWidth="1"/>
    <col min="4617" max="4617" width="15.21875" style="58" customWidth="1"/>
    <col min="4618" max="4618" width="1.88671875" style="58" customWidth="1"/>
    <col min="4619" max="4619" width="10.5546875" style="58" customWidth="1"/>
    <col min="4620" max="4624" width="8" style="58" customWidth="1"/>
    <col min="4625" max="4864" width="9.109375" style="58" hidden="1"/>
    <col min="4865" max="4865" width="6.88671875" style="58" customWidth="1"/>
    <col min="4866" max="4866" width="23.33203125" style="58" customWidth="1"/>
    <col min="4867" max="4867" width="42.88671875" style="58" customWidth="1"/>
    <col min="4868" max="4868" width="14" style="58" customWidth="1"/>
    <col min="4869" max="4869" width="14.109375" style="58" customWidth="1"/>
    <col min="4870" max="4870" width="13" style="58" customWidth="1"/>
    <col min="4871" max="4871" width="14" style="58" customWidth="1"/>
    <col min="4872" max="4872" width="15" style="58" customWidth="1"/>
    <col min="4873" max="4873" width="15.21875" style="58" customWidth="1"/>
    <col min="4874" max="4874" width="1.88671875" style="58" customWidth="1"/>
    <col min="4875" max="4875" width="10.5546875" style="58" customWidth="1"/>
    <col min="4876" max="4880" width="8" style="58" customWidth="1"/>
    <col min="4881" max="5120" width="9.109375" style="58" hidden="1"/>
    <col min="5121" max="5121" width="6.88671875" style="58" customWidth="1"/>
    <col min="5122" max="5122" width="23.33203125" style="58" customWidth="1"/>
    <col min="5123" max="5123" width="42.88671875" style="58" customWidth="1"/>
    <col min="5124" max="5124" width="14" style="58" customWidth="1"/>
    <col min="5125" max="5125" width="14.109375" style="58" customWidth="1"/>
    <col min="5126" max="5126" width="13" style="58" customWidth="1"/>
    <col min="5127" max="5127" width="14" style="58" customWidth="1"/>
    <col min="5128" max="5128" width="15" style="58" customWidth="1"/>
    <col min="5129" max="5129" width="15.21875" style="58" customWidth="1"/>
    <col min="5130" max="5130" width="1.88671875" style="58" customWidth="1"/>
    <col min="5131" max="5131" width="10.5546875" style="58" customWidth="1"/>
    <col min="5132" max="5136" width="8" style="58" customWidth="1"/>
    <col min="5137" max="5376" width="9.109375" style="58" hidden="1"/>
    <col min="5377" max="5377" width="6.88671875" style="58" customWidth="1"/>
    <col min="5378" max="5378" width="23.33203125" style="58" customWidth="1"/>
    <col min="5379" max="5379" width="42.88671875" style="58" customWidth="1"/>
    <col min="5380" max="5380" width="14" style="58" customWidth="1"/>
    <col min="5381" max="5381" width="14.109375" style="58" customWidth="1"/>
    <col min="5382" max="5382" width="13" style="58" customWidth="1"/>
    <col min="5383" max="5383" width="14" style="58" customWidth="1"/>
    <col min="5384" max="5384" width="15" style="58" customWidth="1"/>
    <col min="5385" max="5385" width="15.21875" style="58" customWidth="1"/>
    <col min="5386" max="5386" width="1.88671875" style="58" customWidth="1"/>
    <col min="5387" max="5387" width="10.5546875" style="58" customWidth="1"/>
    <col min="5388" max="5392" width="8" style="58" customWidth="1"/>
    <col min="5393" max="5632" width="9.109375" style="58" hidden="1"/>
    <col min="5633" max="5633" width="6.88671875" style="58" customWidth="1"/>
    <col min="5634" max="5634" width="23.33203125" style="58" customWidth="1"/>
    <col min="5635" max="5635" width="42.88671875" style="58" customWidth="1"/>
    <col min="5636" max="5636" width="14" style="58" customWidth="1"/>
    <col min="5637" max="5637" width="14.109375" style="58" customWidth="1"/>
    <col min="5638" max="5638" width="13" style="58" customWidth="1"/>
    <col min="5639" max="5639" width="14" style="58" customWidth="1"/>
    <col min="5640" max="5640" width="15" style="58" customWidth="1"/>
    <col min="5641" max="5641" width="15.21875" style="58" customWidth="1"/>
    <col min="5642" max="5642" width="1.88671875" style="58" customWidth="1"/>
    <col min="5643" max="5643" width="10.5546875" style="58" customWidth="1"/>
    <col min="5644" max="5648" width="8" style="58" customWidth="1"/>
    <col min="5649" max="5888" width="9.109375" style="58" hidden="1"/>
    <col min="5889" max="5889" width="6.88671875" style="58" customWidth="1"/>
    <col min="5890" max="5890" width="23.33203125" style="58" customWidth="1"/>
    <col min="5891" max="5891" width="42.88671875" style="58" customWidth="1"/>
    <col min="5892" max="5892" width="14" style="58" customWidth="1"/>
    <col min="5893" max="5893" width="14.109375" style="58" customWidth="1"/>
    <col min="5894" max="5894" width="13" style="58" customWidth="1"/>
    <col min="5895" max="5895" width="14" style="58" customWidth="1"/>
    <col min="5896" max="5896" width="15" style="58" customWidth="1"/>
    <col min="5897" max="5897" width="15.21875" style="58" customWidth="1"/>
    <col min="5898" max="5898" width="1.88671875" style="58" customWidth="1"/>
    <col min="5899" max="5899" width="10.5546875" style="58" customWidth="1"/>
    <col min="5900" max="5904" width="8" style="58" customWidth="1"/>
    <col min="5905" max="6144" width="9.109375" style="58" hidden="1"/>
    <col min="6145" max="6145" width="6.88671875" style="58" customWidth="1"/>
    <col min="6146" max="6146" width="23.33203125" style="58" customWidth="1"/>
    <col min="6147" max="6147" width="42.88671875" style="58" customWidth="1"/>
    <col min="6148" max="6148" width="14" style="58" customWidth="1"/>
    <col min="6149" max="6149" width="14.109375" style="58" customWidth="1"/>
    <col min="6150" max="6150" width="13" style="58" customWidth="1"/>
    <col min="6151" max="6151" width="14" style="58" customWidth="1"/>
    <col min="6152" max="6152" width="15" style="58" customWidth="1"/>
    <col min="6153" max="6153" width="15.21875" style="58" customWidth="1"/>
    <col min="6154" max="6154" width="1.88671875" style="58" customWidth="1"/>
    <col min="6155" max="6155" width="10.5546875" style="58" customWidth="1"/>
    <col min="6156" max="6160" width="8" style="58" customWidth="1"/>
    <col min="6161" max="6400" width="9.109375" style="58" hidden="1"/>
    <col min="6401" max="6401" width="6.88671875" style="58" customWidth="1"/>
    <col min="6402" max="6402" width="23.33203125" style="58" customWidth="1"/>
    <col min="6403" max="6403" width="42.88671875" style="58" customWidth="1"/>
    <col min="6404" max="6404" width="14" style="58" customWidth="1"/>
    <col min="6405" max="6405" width="14.109375" style="58" customWidth="1"/>
    <col min="6406" max="6406" width="13" style="58" customWidth="1"/>
    <col min="6407" max="6407" width="14" style="58" customWidth="1"/>
    <col min="6408" max="6408" width="15" style="58" customWidth="1"/>
    <col min="6409" max="6409" width="15.21875" style="58" customWidth="1"/>
    <col min="6410" max="6410" width="1.88671875" style="58" customWidth="1"/>
    <col min="6411" max="6411" width="10.5546875" style="58" customWidth="1"/>
    <col min="6412" max="6416" width="8" style="58" customWidth="1"/>
    <col min="6417" max="6656" width="9.109375" style="58" hidden="1"/>
    <col min="6657" max="6657" width="6.88671875" style="58" customWidth="1"/>
    <col min="6658" max="6658" width="23.33203125" style="58" customWidth="1"/>
    <col min="6659" max="6659" width="42.88671875" style="58" customWidth="1"/>
    <col min="6660" max="6660" width="14" style="58" customWidth="1"/>
    <col min="6661" max="6661" width="14.109375" style="58" customWidth="1"/>
    <col min="6662" max="6662" width="13" style="58" customWidth="1"/>
    <col min="6663" max="6663" width="14" style="58" customWidth="1"/>
    <col min="6664" max="6664" width="15" style="58" customWidth="1"/>
    <col min="6665" max="6665" width="15.21875" style="58" customWidth="1"/>
    <col min="6666" max="6666" width="1.88671875" style="58" customWidth="1"/>
    <col min="6667" max="6667" width="10.5546875" style="58" customWidth="1"/>
    <col min="6668" max="6672" width="8" style="58" customWidth="1"/>
    <col min="6673" max="6912" width="9.109375" style="58" hidden="1"/>
    <col min="6913" max="6913" width="6.88671875" style="58" customWidth="1"/>
    <col min="6914" max="6914" width="23.33203125" style="58" customWidth="1"/>
    <col min="6915" max="6915" width="42.88671875" style="58" customWidth="1"/>
    <col min="6916" max="6916" width="14" style="58" customWidth="1"/>
    <col min="6917" max="6917" width="14.109375" style="58" customWidth="1"/>
    <col min="6918" max="6918" width="13" style="58" customWidth="1"/>
    <col min="6919" max="6919" width="14" style="58" customWidth="1"/>
    <col min="6920" max="6920" width="15" style="58" customWidth="1"/>
    <col min="6921" max="6921" width="15.21875" style="58" customWidth="1"/>
    <col min="6922" max="6922" width="1.88671875" style="58" customWidth="1"/>
    <col min="6923" max="6923" width="10.5546875" style="58" customWidth="1"/>
    <col min="6924" max="6928" width="8" style="58" customWidth="1"/>
    <col min="6929" max="7168" width="9.109375" style="58" hidden="1"/>
    <col min="7169" max="7169" width="6.88671875" style="58" customWidth="1"/>
    <col min="7170" max="7170" width="23.33203125" style="58" customWidth="1"/>
    <col min="7171" max="7171" width="42.88671875" style="58" customWidth="1"/>
    <col min="7172" max="7172" width="14" style="58" customWidth="1"/>
    <col min="7173" max="7173" width="14.109375" style="58" customWidth="1"/>
    <col min="7174" max="7174" width="13" style="58" customWidth="1"/>
    <col min="7175" max="7175" width="14" style="58" customWidth="1"/>
    <col min="7176" max="7176" width="15" style="58" customWidth="1"/>
    <col min="7177" max="7177" width="15.21875" style="58" customWidth="1"/>
    <col min="7178" max="7178" width="1.88671875" style="58" customWidth="1"/>
    <col min="7179" max="7179" width="10.5546875" style="58" customWidth="1"/>
    <col min="7180" max="7184" width="8" style="58" customWidth="1"/>
    <col min="7185" max="7424" width="9.109375" style="58" hidden="1"/>
    <col min="7425" max="7425" width="6.88671875" style="58" customWidth="1"/>
    <col min="7426" max="7426" width="23.33203125" style="58" customWidth="1"/>
    <col min="7427" max="7427" width="42.88671875" style="58" customWidth="1"/>
    <col min="7428" max="7428" width="14" style="58" customWidth="1"/>
    <col min="7429" max="7429" width="14.109375" style="58" customWidth="1"/>
    <col min="7430" max="7430" width="13" style="58" customWidth="1"/>
    <col min="7431" max="7431" width="14" style="58" customWidth="1"/>
    <col min="7432" max="7432" width="15" style="58" customWidth="1"/>
    <col min="7433" max="7433" width="15.21875" style="58" customWidth="1"/>
    <col min="7434" max="7434" width="1.88671875" style="58" customWidth="1"/>
    <col min="7435" max="7435" width="10.5546875" style="58" customWidth="1"/>
    <col min="7436" max="7440" width="8" style="58" customWidth="1"/>
    <col min="7441" max="7680" width="9.109375" style="58" hidden="1"/>
    <col min="7681" max="7681" width="6.88671875" style="58" customWidth="1"/>
    <col min="7682" max="7682" width="23.33203125" style="58" customWidth="1"/>
    <col min="7683" max="7683" width="42.88671875" style="58" customWidth="1"/>
    <col min="7684" max="7684" width="14" style="58" customWidth="1"/>
    <col min="7685" max="7685" width="14.109375" style="58" customWidth="1"/>
    <col min="7686" max="7686" width="13" style="58" customWidth="1"/>
    <col min="7687" max="7687" width="14" style="58" customWidth="1"/>
    <col min="7688" max="7688" width="15" style="58" customWidth="1"/>
    <col min="7689" max="7689" width="15.21875" style="58" customWidth="1"/>
    <col min="7690" max="7690" width="1.88671875" style="58" customWidth="1"/>
    <col min="7691" max="7691" width="10.5546875" style="58" customWidth="1"/>
    <col min="7692" max="7696" width="8" style="58" customWidth="1"/>
    <col min="7697" max="7936" width="9.109375" style="58" hidden="1"/>
    <col min="7937" max="7937" width="6.88671875" style="58" customWidth="1"/>
    <col min="7938" max="7938" width="23.33203125" style="58" customWidth="1"/>
    <col min="7939" max="7939" width="42.88671875" style="58" customWidth="1"/>
    <col min="7940" max="7940" width="14" style="58" customWidth="1"/>
    <col min="7941" max="7941" width="14.109375" style="58" customWidth="1"/>
    <col min="7942" max="7942" width="13" style="58" customWidth="1"/>
    <col min="7943" max="7943" width="14" style="58" customWidth="1"/>
    <col min="7944" max="7944" width="15" style="58" customWidth="1"/>
    <col min="7945" max="7945" width="15.21875" style="58" customWidth="1"/>
    <col min="7946" max="7946" width="1.88671875" style="58" customWidth="1"/>
    <col min="7947" max="7947" width="10.5546875" style="58" customWidth="1"/>
    <col min="7948" max="7952" width="8" style="58" customWidth="1"/>
    <col min="7953" max="8192" width="9.109375" style="58" hidden="1"/>
    <col min="8193" max="8193" width="6.88671875" style="58" customWidth="1"/>
    <col min="8194" max="8194" width="23.33203125" style="58" customWidth="1"/>
    <col min="8195" max="8195" width="42.88671875" style="58" customWidth="1"/>
    <col min="8196" max="8196" width="14" style="58" customWidth="1"/>
    <col min="8197" max="8197" width="14.109375" style="58" customWidth="1"/>
    <col min="8198" max="8198" width="13" style="58" customWidth="1"/>
    <col min="8199" max="8199" width="14" style="58" customWidth="1"/>
    <col min="8200" max="8200" width="15" style="58" customWidth="1"/>
    <col min="8201" max="8201" width="15.21875" style="58" customWidth="1"/>
    <col min="8202" max="8202" width="1.88671875" style="58" customWidth="1"/>
    <col min="8203" max="8203" width="10.5546875" style="58" customWidth="1"/>
    <col min="8204" max="8208" width="8" style="58" customWidth="1"/>
    <col min="8209" max="8448" width="9.109375" style="58" hidden="1"/>
    <col min="8449" max="8449" width="6.88671875" style="58" customWidth="1"/>
    <col min="8450" max="8450" width="23.33203125" style="58" customWidth="1"/>
    <col min="8451" max="8451" width="42.88671875" style="58" customWidth="1"/>
    <col min="8452" max="8452" width="14" style="58" customWidth="1"/>
    <col min="8453" max="8453" width="14.109375" style="58" customWidth="1"/>
    <col min="8454" max="8454" width="13" style="58" customWidth="1"/>
    <col min="8455" max="8455" width="14" style="58" customWidth="1"/>
    <col min="8456" max="8456" width="15" style="58" customWidth="1"/>
    <col min="8457" max="8457" width="15.21875" style="58" customWidth="1"/>
    <col min="8458" max="8458" width="1.88671875" style="58" customWidth="1"/>
    <col min="8459" max="8459" width="10.5546875" style="58" customWidth="1"/>
    <col min="8460" max="8464" width="8" style="58" customWidth="1"/>
    <col min="8465" max="8704" width="9.109375" style="58" hidden="1"/>
    <col min="8705" max="8705" width="6.88671875" style="58" customWidth="1"/>
    <col min="8706" max="8706" width="23.33203125" style="58" customWidth="1"/>
    <col min="8707" max="8707" width="42.88671875" style="58" customWidth="1"/>
    <col min="8708" max="8708" width="14" style="58" customWidth="1"/>
    <col min="8709" max="8709" width="14.109375" style="58" customWidth="1"/>
    <col min="8710" max="8710" width="13" style="58" customWidth="1"/>
    <col min="8711" max="8711" width="14" style="58" customWidth="1"/>
    <col min="8712" max="8712" width="15" style="58" customWidth="1"/>
    <col min="8713" max="8713" width="15.21875" style="58" customWidth="1"/>
    <col min="8714" max="8714" width="1.88671875" style="58" customWidth="1"/>
    <col min="8715" max="8715" width="10.5546875" style="58" customWidth="1"/>
    <col min="8716" max="8720" width="8" style="58" customWidth="1"/>
    <col min="8721" max="8960" width="9.109375" style="58" hidden="1"/>
    <col min="8961" max="8961" width="6.88671875" style="58" customWidth="1"/>
    <col min="8962" max="8962" width="23.33203125" style="58" customWidth="1"/>
    <col min="8963" max="8963" width="42.88671875" style="58" customWidth="1"/>
    <col min="8964" max="8964" width="14" style="58" customWidth="1"/>
    <col min="8965" max="8965" width="14.109375" style="58" customWidth="1"/>
    <col min="8966" max="8966" width="13" style="58" customWidth="1"/>
    <col min="8967" max="8967" width="14" style="58" customWidth="1"/>
    <col min="8968" max="8968" width="15" style="58" customWidth="1"/>
    <col min="8969" max="8969" width="15.21875" style="58" customWidth="1"/>
    <col min="8970" max="8970" width="1.88671875" style="58" customWidth="1"/>
    <col min="8971" max="8971" width="10.5546875" style="58" customWidth="1"/>
    <col min="8972" max="8976" width="8" style="58" customWidth="1"/>
    <col min="8977" max="9216" width="9.109375" style="58" hidden="1"/>
    <col min="9217" max="9217" width="6.88671875" style="58" customWidth="1"/>
    <col min="9218" max="9218" width="23.33203125" style="58" customWidth="1"/>
    <col min="9219" max="9219" width="42.88671875" style="58" customWidth="1"/>
    <col min="9220" max="9220" width="14" style="58" customWidth="1"/>
    <col min="9221" max="9221" width="14.109375" style="58" customWidth="1"/>
    <col min="9222" max="9222" width="13" style="58" customWidth="1"/>
    <col min="9223" max="9223" width="14" style="58" customWidth="1"/>
    <col min="9224" max="9224" width="15" style="58" customWidth="1"/>
    <col min="9225" max="9225" width="15.21875" style="58" customWidth="1"/>
    <col min="9226" max="9226" width="1.88671875" style="58" customWidth="1"/>
    <col min="9227" max="9227" width="10.5546875" style="58" customWidth="1"/>
    <col min="9228" max="9232" width="8" style="58" customWidth="1"/>
    <col min="9233" max="9472" width="9.109375" style="58" hidden="1"/>
    <col min="9473" max="9473" width="6.88671875" style="58" customWidth="1"/>
    <col min="9474" max="9474" width="23.33203125" style="58" customWidth="1"/>
    <col min="9475" max="9475" width="42.88671875" style="58" customWidth="1"/>
    <col min="9476" max="9476" width="14" style="58" customWidth="1"/>
    <col min="9477" max="9477" width="14.109375" style="58" customWidth="1"/>
    <col min="9478" max="9478" width="13" style="58" customWidth="1"/>
    <col min="9479" max="9479" width="14" style="58" customWidth="1"/>
    <col min="9480" max="9480" width="15" style="58" customWidth="1"/>
    <col min="9481" max="9481" width="15.21875" style="58" customWidth="1"/>
    <col min="9482" max="9482" width="1.88671875" style="58" customWidth="1"/>
    <col min="9483" max="9483" width="10.5546875" style="58" customWidth="1"/>
    <col min="9484" max="9488" width="8" style="58" customWidth="1"/>
    <col min="9489" max="9728" width="9.109375" style="58" hidden="1"/>
    <col min="9729" max="9729" width="6.88671875" style="58" customWidth="1"/>
    <col min="9730" max="9730" width="23.33203125" style="58" customWidth="1"/>
    <col min="9731" max="9731" width="42.88671875" style="58" customWidth="1"/>
    <col min="9732" max="9732" width="14" style="58" customWidth="1"/>
    <col min="9733" max="9733" width="14.109375" style="58" customWidth="1"/>
    <col min="9734" max="9734" width="13" style="58" customWidth="1"/>
    <col min="9735" max="9735" width="14" style="58" customWidth="1"/>
    <col min="9736" max="9736" width="15" style="58" customWidth="1"/>
    <col min="9737" max="9737" width="15.21875" style="58" customWidth="1"/>
    <col min="9738" max="9738" width="1.88671875" style="58" customWidth="1"/>
    <col min="9739" max="9739" width="10.5546875" style="58" customWidth="1"/>
    <col min="9740" max="9744" width="8" style="58" customWidth="1"/>
    <col min="9745" max="9984" width="9.109375" style="58" hidden="1"/>
    <col min="9985" max="9985" width="6.88671875" style="58" customWidth="1"/>
    <col min="9986" max="9986" width="23.33203125" style="58" customWidth="1"/>
    <col min="9987" max="9987" width="42.88671875" style="58" customWidth="1"/>
    <col min="9988" max="9988" width="14" style="58" customWidth="1"/>
    <col min="9989" max="9989" width="14.109375" style="58" customWidth="1"/>
    <col min="9990" max="9990" width="13" style="58" customWidth="1"/>
    <col min="9991" max="9991" width="14" style="58" customWidth="1"/>
    <col min="9992" max="9992" width="15" style="58" customWidth="1"/>
    <col min="9993" max="9993" width="15.21875" style="58" customWidth="1"/>
    <col min="9994" max="9994" width="1.88671875" style="58" customWidth="1"/>
    <col min="9995" max="9995" width="10.5546875" style="58" customWidth="1"/>
    <col min="9996" max="10000" width="8" style="58" customWidth="1"/>
    <col min="10001" max="10240" width="9.109375" style="58" hidden="1"/>
    <col min="10241" max="10241" width="6.88671875" style="58" customWidth="1"/>
    <col min="10242" max="10242" width="23.33203125" style="58" customWidth="1"/>
    <col min="10243" max="10243" width="42.88671875" style="58" customWidth="1"/>
    <col min="10244" max="10244" width="14" style="58" customWidth="1"/>
    <col min="10245" max="10245" width="14.109375" style="58" customWidth="1"/>
    <col min="10246" max="10246" width="13" style="58" customWidth="1"/>
    <col min="10247" max="10247" width="14" style="58" customWidth="1"/>
    <col min="10248" max="10248" width="15" style="58" customWidth="1"/>
    <col min="10249" max="10249" width="15.21875" style="58" customWidth="1"/>
    <col min="10250" max="10250" width="1.88671875" style="58" customWidth="1"/>
    <col min="10251" max="10251" width="10.5546875" style="58" customWidth="1"/>
    <col min="10252" max="10256" width="8" style="58" customWidth="1"/>
    <col min="10257" max="10496" width="9.109375" style="58" hidden="1"/>
    <col min="10497" max="10497" width="6.88671875" style="58" customWidth="1"/>
    <col min="10498" max="10498" width="23.33203125" style="58" customWidth="1"/>
    <col min="10499" max="10499" width="42.88671875" style="58" customWidth="1"/>
    <col min="10500" max="10500" width="14" style="58" customWidth="1"/>
    <col min="10501" max="10501" width="14.109375" style="58" customWidth="1"/>
    <col min="10502" max="10502" width="13" style="58" customWidth="1"/>
    <col min="10503" max="10503" width="14" style="58" customWidth="1"/>
    <col min="10504" max="10504" width="15" style="58" customWidth="1"/>
    <col min="10505" max="10505" width="15.21875" style="58" customWidth="1"/>
    <col min="10506" max="10506" width="1.88671875" style="58" customWidth="1"/>
    <col min="10507" max="10507" width="10.5546875" style="58" customWidth="1"/>
    <col min="10508" max="10512" width="8" style="58" customWidth="1"/>
    <col min="10513" max="10752" width="9.109375" style="58" hidden="1"/>
    <col min="10753" max="10753" width="6.88671875" style="58" customWidth="1"/>
    <col min="10754" max="10754" width="23.33203125" style="58" customWidth="1"/>
    <col min="10755" max="10755" width="42.88671875" style="58" customWidth="1"/>
    <col min="10756" max="10756" width="14" style="58" customWidth="1"/>
    <col min="10757" max="10757" width="14.109375" style="58" customWidth="1"/>
    <col min="10758" max="10758" width="13" style="58" customWidth="1"/>
    <col min="10759" max="10759" width="14" style="58" customWidth="1"/>
    <col min="10760" max="10760" width="15" style="58" customWidth="1"/>
    <col min="10761" max="10761" width="15.21875" style="58" customWidth="1"/>
    <col min="10762" max="10762" width="1.88671875" style="58" customWidth="1"/>
    <col min="10763" max="10763" width="10.5546875" style="58" customWidth="1"/>
    <col min="10764" max="10768" width="8" style="58" customWidth="1"/>
    <col min="10769" max="11008" width="9.109375" style="58" hidden="1"/>
    <col min="11009" max="11009" width="6.88671875" style="58" customWidth="1"/>
    <col min="11010" max="11010" width="23.33203125" style="58" customWidth="1"/>
    <col min="11011" max="11011" width="42.88671875" style="58" customWidth="1"/>
    <col min="11012" max="11012" width="14" style="58" customWidth="1"/>
    <col min="11013" max="11013" width="14.109375" style="58" customWidth="1"/>
    <col min="11014" max="11014" width="13" style="58" customWidth="1"/>
    <col min="11015" max="11015" width="14" style="58" customWidth="1"/>
    <col min="11016" max="11016" width="15" style="58" customWidth="1"/>
    <col min="11017" max="11017" width="15.21875" style="58" customWidth="1"/>
    <col min="11018" max="11018" width="1.88671875" style="58" customWidth="1"/>
    <col min="11019" max="11019" width="10.5546875" style="58" customWidth="1"/>
    <col min="11020" max="11024" width="8" style="58" customWidth="1"/>
    <col min="11025" max="11264" width="9.109375" style="58" hidden="1"/>
    <col min="11265" max="11265" width="6.88671875" style="58" customWidth="1"/>
    <col min="11266" max="11266" width="23.33203125" style="58" customWidth="1"/>
    <col min="11267" max="11267" width="42.88671875" style="58" customWidth="1"/>
    <col min="11268" max="11268" width="14" style="58" customWidth="1"/>
    <col min="11269" max="11269" width="14.109375" style="58" customWidth="1"/>
    <col min="11270" max="11270" width="13" style="58" customWidth="1"/>
    <col min="11271" max="11271" width="14" style="58" customWidth="1"/>
    <col min="11272" max="11272" width="15" style="58" customWidth="1"/>
    <col min="11273" max="11273" width="15.21875" style="58" customWidth="1"/>
    <col min="11274" max="11274" width="1.88671875" style="58" customWidth="1"/>
    <col min="11275" max="11275" width="10.5546875" style="58" customWidth="1"/>
    <col min="11276" max="11280" width="8" style="58" customWidth="1"/>
    <col min="11281" max="11520" width="9.109375" style="58" hidden="1"/>
    <col min="11521" max="11521" width="6.88671875" style="58" customWidth="1"/>
    <col min="11522" max="11522" width="23.33203125" style="58" customWidth="1"/>
    <col min="11523" max="11523" width="42.88671875" style="58" customWidth="1"/>
    <col min="11524" max="11524" width="14" style="58" customWidth="1"/>
    <col min="11525" max="11525" width="14.109375" style="58" customWidth="1"/>
    <col min="11526" max="11526" width="13" style="58" customWidth="1"/>
    <col min="11527" max="11527" width="14" style="58" customWidth="1"/>
    <col min="11528" max="11528" width="15" style="58" customWidth="1"/>
    <col min="11529" max="11529" width="15.21875" style="58" customWidth="1"/>
    <col min="11530" max="11530" width="1.88671875" style="58" customWidth="1"/>
    <col min="11531" max="11531" width="10.5546875" style="58" customWidth="1"/>
    <col min="11532" max="11536" width="8" style="58" customWidth="1"/>
    <col min="11537" max="11776" width="9.109375" style="58" hidden="1"/>
    <col min="11777" max="11777" width="6.88671875" style="58" customWidth="1"/>
    <col min="11778" max="11778" width="23.33203125" style="58" customWidth="1"/>
    <col min="11779" max="11779" width="42.88671875" style="58" customWidth="1"/>
    <col min="11780" max="11780" width="14" style="58" customWidth="1"/>
    <col min="11781" max="11781" width="14.109375" style="58" customWidth="1"/>
    <col min="11782" max="11782" width="13" style="58" customWidth="1"/>
    <col min="11783" max="11783" width="14" style="58" customWidth="1"/>
    <col min="11784" max="11784" width="15" style="58" customWidth="1"/>
    <col min="11785" max="11785" width="15.21875" style="58" customWidth="1"/>
    <col min="11786" max="11786" width="1.88671875" style="58" customWidth="1"/>
    <col min="11787" max="11787" width="10.5546875" style="58" customWidth="1"/>
    <col min="11788" max="11792" width="8" style="58" customWidth="1"/>
    <col min="11793" max="12032" width="9.109375" style="58" hidden="1"/>
    <col min="12033" max="12033" width="6.88671875" style="58" customWidth="1"/>
    <col min="12034" max="12034" width="23.33203125" style="58" customWidth="1"/>
    <col min="12035" max="12035" width="42.88671875" style="58" customWidth="1"/>
    <col min="12036" max="12036" width="14" style="58" customWidth="1"/>
    <col min="12037" max="12037" width="14.109375" style="58" customWidth="1"/>
    <col min="12038" max="12038" width="13" style="58" customWidth="1"/>
    <col min="12039" max="12039" width="14" style="58" customWidth="1"/>
    <col min="12040" max="12040" width="15" style="58" customWidth="1"/>
    <col min="12041" max="12041" width="15.21875" style="58" customWidth="1"/>
    <col min="12042" max="12042" width="1.88671875" style="58" customWidth="1"/>
    <col min="12043" max="12043" width="10.5546875" style="58" customWidth="1"/>
    <col min="12044" max="12048" width="8" style="58" customWidth="1"/>
    <col min="12049" max="12288" width="9.109375" style="58" hidden="1"/>
    <col min="12289" max="12289" width="6.88671875" style="58" customWidth="1"/>
    <col min="12290" max="12290" width="23.33203125" style="58" customWidth="1"/>
    <col min="12291" max="12291" width="42.88671875" style="58" customWidth="1"/>
    <col min="12292" max="12292" width="14" style="58" customWidth="1"/>
    <col min="12293" max="12293" width="14.109375" style="58" customWidth="1"/>
    <col min="12294" max="12294" width="13" style="58" customWidth="1"/>
    <col min="12295" max="12295" width="14" style="58" customWidth="1"/>
    <col min="12296" max="12296" width="15" style="58" customWidth="1"/>
    <col min="12297" max="12297" width="15.21875" style="58" customWidth="1"/>
    <col min="12298" max="12298" width="1.88671875" style="58" customWidth="1"/>
    <col min="12299" max="12299" width="10.5546875" style="58" customWidth="1"/>
    <col min="12300" max="12304" width="8" style="58" customWidth="1"/>
    <col min="12305" max="12544" width="9.109375" style="58" hidden="1"/>
    <col min="12545" max="12545" width="6.88671875" style="58" customWidth="1"/>
    <col min="12546" max="12546" width="23.33203125" style="58" customWidth="1"/>
    <col min="12547" max="12547" width="42.88671875" style="58" customWidth="1"/>
    <col min="12548" max="12548" width="14" style="58" customWidth="1"/>
    <col min="12549" max="12549" width="14.109375" style="58" customWidth="1"/>
    <col min="12550" max="12550" width="13" style="58" customWidth="1"/>
    <col min="12551" max="12551" width="14" style="58" customWidth="1"/>
    <col min="12552" max="12552" width="15" style="58" customWidth="1"/>
    <col min="12553" max="12553" width="15.21875" style="58" customWidth="1"/>
    <col min="12554" max="12554" width="1.88671875" style="58" customWidth="1"/>
    <col min="12555" max="12555" width="10.5546875" style="58" customWidth="1"/>
    <col min="12556" max="12560" width="8" style="58" customWidth="1"/>
    <col min="12561" max="12800" width="9.109375" style="58" hidden="1"/>
    <col min="12801" max="12801" width="6.88671875" style="58" customWidth="1"/>
    <col min="12802" max="12802" width="23.33203125" style="58" customWidth="1"/>
    <col min="12803" max="12803" width="42.88671875" style="58" customWidth="1"/>
    <col min="12804" max="12804" width="14" style="58" customWidth="1"/>
    <col min="12805" max="12805" width="14.109375" style="58" customWidth="1"/>
    <col min="12806" max="12806" width="13" style="58" customWidth="1"/>
    <col min="12807" max="12807" width="14" style="58" customWidth="1"/>
    <col min="12808" max="12808" width="15" style="58" customWidth="1"/>
    <col min="12809" max="12809" width="15.21875" style="58" customWidth="1"/>
    <col min="12810" max="12810" width="1.88671875" style="58" customWidth="1"/>
    <col min="12811" max="12811" width="10.5546875" style="58" customWidth="1"/>
    <col min="12812" max="12816" width="8" style="58" customWidth="1"/>
    <col min="12817" max="13056" width="9.109375" style="58" hidden="1"/>
    <col min="13057" max="13057" width="6.88671875" style="58" customWidth="1"/>
    <col min="13058" max="13058" width="23.33203125" style="58" customWidth="1"/>
    <col min="13059" max="13059" width="42.88671875" style="58" customWidth="1"/>
    <col min="13060" max="13060" width="14" style="58" customWidth="1"/>
    <col min="13061" max="13061" width="14.109375" style="58" customWidth="1"/>
    <col min="13062" max="13062" width="13" style="58" customWidth="1"/>
    <col min="13063" max="13063" width="14" style="58" customWidth="1"/>
    <col min="13064" max="13064" width="15" style="58" customWidth="1"/>
    <col min="13065" max="13065" width="15.21875" style="58" customWidth="1"/>
    <col min="13066" max="13066" width="1.88671875" style="58" customWidth="1"/>
    <col min="13067" max="13067" width="10.5546875" style="58" customWidth="1"/>
    <col min="13068" max="13072" width="8" style="58" customWidth="1"/>
    <col min="13073" max="13312" width="9.109375" style="58" hidden="1"/>
    <col min="13313" max="13313" width="6.88671875" style="58" customWidth="1"/>
    <col min="13314" max="13314" width="23.33203125" style="58" customWidth="1"/>
    <col min="13315" max="13315" width="42.88671875" style="58" customWidth="1"/>
    <col min="13316" max="13316" width="14" style="58" customWidth="1"/>
    <col min="13317" max="13317" width="14.109375" style="58" customWidth="1"/>
    <col min="13318" max="13318" width="13" style="58" customWidth="1"/>
    <col min="13319" max="13319" width="14" style="58" customWidth="1"/>
    <col min="13320" max="13320" width="15" style="58" customWidth="1"/>
    <col min="13321" max="13321" width="15.21875" style="58" customWidth="1"/>
    <col min="13322" max="13322" width="1.88671875" style="58" customWidth="1"/>
    <col min="13323" max="13323" width="10.5546875" style="58" customWidth="1"/>
    <col min="13324" max="13328" width="8" style="58" customWidth="1"/>
    <col min="13329" max="13568" width="9.109375" style="58" hidden="1"/>
    <col min="13569" max="13569" width="6.88671875" style="58" customWidth="1"/>
    <col min="13570" max="13570" width="23.33203125" style="58" customWidth="1"/>
    <col min="13571" max="13571" width="42.88671875" style="58" customWidth="1"/>
    <col min="13572" max="13572" width="14" style="58" customWidth="1"/>
    <col min="13573" max="13573" width="14.109375" style="58" customWidth="1"/>
    <col min="13574" max="13574" width="13" style="58" customWidth="1"/>
    <col min="13575" max="13575" width="14" style="58" customWidth="1"/>
    <col min="13576" max="13576" width="15" style="58" customWidth="1"/>
    <col min="13577" max="13577" width="15.21875" style="58" customWidth="1"/>
    <col min="13578" max="13578" width="1.88671875" style="58" customWidth="1"/>
    <col min="13579" max="13579" width="10.5546875" style="58" customWidth="1"/>
    <col min="13580" max="13584" width="8" style="58" customWidth="1"/>
    <col min="13585" max="13824" width="9.109375" style="58" hidden="1"/>
    <col min="13825" max="13825" width="6.88671875" style="58" customWidth="1"/>
    <col min="13826" max="13826" width="23.33203125" style="58" customWidth="1"/>
    <col min="13827" max="13827" width="42.88671875" style="58" customWidth="1"/>
    <col min="13828" max="13828" width="14" style="58" customWidth="1"/>
    <col min="13829" max="13829" width="14.109375" style="58" customWidth="1"/>
    <col min="13830" max="13830" width="13" style="58" customWidth="1"/>
    <col min="13831" max="13831" width="14" style="58" customWidth="1"/>
    <col min="13832" max="13832" width="15" style="58" customWidth="1"/>
    <col min="13833" max="13833" width="15.21875" style="58" customWidth="1"/>
    <col min="13834" max="13834" width="1.88671875" style="58" customWidth="1"/>
    <col min="13835" max="13835" width="10.5546875" style="58" customWidth="1"/>
    <col min="13836" max="13840" width="8" style="58" customWidth="1"/>
    <col min="13841" max="14080" width="9.109375" style="58" hidden="1"/>
    <col min="14081" max="14081" width="6.88671875" style="58" customWidth="1"/>
    <col min="14082" max="14082" width="23.33203125" style="58" customWidth="1"/>
    <col min="14083" max="14083" width="42.88671875" style="58" customWidth="1"/>
    <col min="14084" max="14084" width="14" style="58" customWidth="1"/>
    <col min="14085" max="14085" width="14.109375" style="58" customWidth="1"/>
    <col min="14086" max="14086" width="13" style="58" customWidth="1"/>
    <col min="14087" max="14087" width="14" style="58" customWidth="1"/>
    <col min="14088" max="14088" width="15" style="58" customWidth="1"/>
    <col min="14089" max="14089" width="15.21875" style="58" customWidth="1"/>
    <col min="14090" max="14090" width="1.88671875" style="58" customWidth="1"/>
    <col min="14091" max="14091" width="10.5546875" style="58" customWidth="1"/>
    <col min="14092" max="14096" width="8" style="58" customWidth="1"/>
    <col min="14097" max="14336" width="9.109375" style="58" hidden="1"/>
    <col min="14337" max="14337" width="6.88671875" style="58" customWidth="1"/>
    <col min="14338" max="14338" width="23.33203125" style="58" customWidth="1"/>
    <col min="14339" max="14339" width="42.88671875" style="58" customWidth="1"/>
    <col min="14340" max="14340" width="14" style="58" customWidth="1"/>
    <col min="14341" max="14341" width="14.109375" style="58" customWidth="1"/>
    <col min="14342" max="14342" width="13" style="58" customWidth="1"/>
    <col min="14343" max="14343" width="14" style="58" customWidth="1"/>
    <col min="14344" max="14344" width="15" style="58" customWidth="1"/>
    <col min="14345" max="14345" width="15.21875" style="58" customWidth="1"/>
    <col min="14346" max="14346" width="1.88671875" style="58" customWidth="1"/>
    <col min="14347" max="14347" width="10.5546875" style="58" customWidth="1"/>
    <col min="14348" max="14352" width="8" style="58" customWidth="1"/>
    <col min="14353" max="14592" width="9.109375" style="58" hidden="1"/>
    <col min="14593" max="14593" width="6.88671875" style="58" customWidth="1"/>
    <col min="14594" max="14594" width="23.33203125" style="58" customWidth="1"/>
    <col min="14595" max="14595" width="42.88671875" style="58" customWidth="1"/>
    <col min="14596" max="14596" width="14" style="58" customWidth="1"/>
    <col min="14597" max="14597" width="14.109375" style="58" customWidth="1"/>
    <col min="14598" max="14598" width="13" style="58" customWidth="1"/>
    <col min="14599" max="14599" width="14" style="58" customWidth="1"/>
    <col min="14600" max="14600" width="15" style="58" customWidth="1"/>
    <col min="14601" max="14601" width="15.21875" style="58" customWidth="1"/>
    <col min="14602" max="14602" width="1.88671875" style="58" customWidth="1"/>
    <col min="14603" max="14603" width="10.5546875" style="58" customWidth="1"/>
    <col min="14604" max="14608" width="8" style="58" customWidth="1"/>
    <col min="14609" max="14848" width="9.109375" style="58" hidden="1"/>
    <col min="14849" max="14849" width="6.88671875" style="58" customWidth="1"/>
    <col min="14850" max="14850" width="23.33203125" style="58" customWidth="1"/>
    <col min="14851" max="14851" width="42.88671875" style="58" customWidth="1"/>
    <col min="14852" max="14852" width="14" style="58" customWidth="1"/>
    <col min="14853" max="14853" width="14.109375" style="58" customWidth="1"/>
    <col min="14854" max="14854" width="13" style="58" customWidth="1"/>
    <col min="14855" max="14855" width="14" style="58" customWidth="1"/>
    <col min="14856" max="14856" width="15" style="58" customWidth="1"/>
    <col min="14857" max="14857" width="15.21875" style="58" customWidth="1"/>
    <col min="14858" max="14858" width="1.88671875" style="58" customWidth="1"/>
    <col min="14859" max="14859" width="10.5546875" style="58" customWidth="1"/>
    <col min="14860" max="14864" width="8" style="58" customWidth="1"/>
    <col min="14865" max="15104" width="9.109375" style="58" hidden="1"/>
    <col min="15105" max="15105" width="6.88671875" style="58" customWidth="1"/>
    <col min="15106" max="15106" width="23.33203125" style="58" customWidth="1"/>
    <col min="15107" max="15107" width="42.88671875" style="58" customWidth="1"/>
    <col min="15108" max="15108" width="14" style="58" customWidth="1"/>
    <col min="15109" max="15109" width="14.109375" style="58" customWidth="1"/>
    <col min="15110" max="15110" width="13" style="58" customWidth="1"/>
    <col min="15111" max="15111" width="14" style="58" customWidth="1"/>
    <col min="15112" max="15112" width="15" style="58" customWidth="1"/>
    <col min="15113" max="15113" width="15.21875" style="58" customWidth="1"/>
    <col min="15114" max="15114" width="1.88671875" style="58" customWidth="1"/>
    <col min="15115" max="15115" width="10.5546875" style="58" customWidth="1"/>
    <col min="15116" max="15120" width="8" style="58" customWidth="1"/>
    <col min="15121" max="15360" width="9.109375" style="58" hidden="1"/>
    <col min="15361" max="15361" width="6.88671875" style="58" customWidth="1"/>
    <col min="15362" max="15362" width="23.33203125" style="58" customWidth="1"/>
    <col min="15363" max="15363" width="42.88671875" style="58" customWidth="1"/>
    <col min="15364" max="15364" width="14" style="58" customWidth="1"/>
    <col min="15365" max="15365" width="14.109375" style="58" customWidth="1"/>
    <col min="15366" max="15366" width="13" style="58" customWidth="1"/>
    <col min="15367" max="15367" width="14" style="58" customWidth="1"/>
    <col min="15368" max="15368" width="15" style="58" customWidth="1"/>
    <col min="15369" max="15369" width="15.21875" style="58" customWidth="1"/>
    <col min="15370" max="15370" width="1.88671875" style="58" customWidth="1"/>
    <col min="15371" max="15371" width="10.5546875" style="58" customWidth="1"/>
    <col min="15372" max="15376" width="8" style="58" customWidth="1"/>
    <col min="15377" max="15616" width="9.109375" style="58" hidden="1"/>
    <col min="15617" max="15617" width="6.88671875" style="58" customWidth="1"/>
    <col min="15618" max="15618" width="23.33203125" style="58" customWidth="1"/>
    <col min="15619" max="15619" width="42.88671875" style="58" customWidth="1"/>
    <col min="15620" max="15620" width="14" style="58" customWidth="1"/>
    <col min="15621" max="15621" width="14.109375" style="58" customWidth="1"/>
    <col min="15622" max="15622" width="13" style="58" customWidth="1"/>
    <col min="15623" max="15623" width="14" style="58" customWidth="1"/>
    <col min="15624" max="15624" width="15" style="58" customWidth="1"/>
    <col min="15625" max="15625" width="15.21875" style="58" customWidth="1"/>
    <col min="15626" max="15626" width="1.88671875" style="58" customWidth="1"/>
    <col min="15627" max="15627" width="10.5546875" style="58" customWidth="1"/>
    <col min="15628" max="15632" width="8" style="58" customWidth="1"/>
    <col min="15633" max="15872" width="9.109375" style="58" hidden="1"/>
    <col min="15873" max="15873" width="6.88671875" style="58" customWidth="1"/>
    <col min="15874" max="15874" width="23.33203125" style="58" customWidth="1"/>
    <col min="15875" max="15875" width="42.88671875" style="58" customWidth="1"/>
    <col min="15876" max="15876" width="14" style="58" customWidth="1"/>
    <col min="15877" max="15877" width="14.109375" style="58" customWidth="1"/>
    <col min="15878" max="15878" width="13" style="58" customWidth="1"/>
    <col min="15879" max="15879" width="14" style="58" customWidth="1"/>
    <col min="15880" max="15880" width="15" style="58" customWidth="1"/>
    <col min="15881" max="15881" width="15.21875" style="58" customWidth="1"/>
    <col min="15882" max="15882" width="1.88671875" style="58" customWidth="1"/>
    <col min="15883" max="15883" width="10.5546875" style="58" customWidth="1"/>
    <col min="15884" max="15888" width="8" style="58" customWidth="1"/>
    <col min="15889" max="16128" width="9.109375" style="58" hidden="1"/>
    <col min="16129" max="16129" width="6.88671875" style="58" customWidth="1"/>
    <col min="16130" max="16130" width="23.33203125" style="58" customWidth="1"/>
    <col min="16131" max="16131" width="42.88671875" style="58" customWidth="1"/>
    <col min="16132" max="16132" width="14" style="58" customWidth="1"/>
    <col min="16133" max="16133" width="14.109375" style="58" customWidth="1"/>
    <col min="16134" max="16134" width="13" style="58" customWidth="1"/>
    <col min="16135" max="16135" width="14" style="58" customWidth="1"/>
    <col min="16136" max="16136" width="15" style="58" customWidth="1"/>
    <col min="16137" max="16137" width="15.21875" style="58" customWidth="1"/>
    <col min="16138" max="16138" width="1.88671875" style="58" customWidth="1"/>
    <col min="16139" max="16139" width="10.5546875" style="58" customWidth="1"/>
    <col min="16140" max="16144" width="8" style="58" customWidth="1"/>
    <col min="16145" max="16151" width="0" style="58" hidden="1"/>
    <col min="16152" max="16384" width="9.109375" style="58" hidden="1"/>
  </cols>
  <sheetData>
    <row r="1" spans="1:265" s="706" customFormat="1" ht="22.8" customHeight="1">
      <c r="A1" s="808" t="s">
        <v>156</v>
      </c>
      <c r="B1" s="704"/>
      <c r="C1" s="704"/>
      <c r="D1" s="362"/>
      <c r="E1" s="705"/>
      <c r="F1" s="705"/>
      <c r="G1" s="705"/>
      <c r="H1" s="705"/>
      <c r="I1" s="363"/>
      <c r="J1" s="363"/>
      <c r="K1" s="363"/>
      <c r="L1" s="363"/>
      <c r="M1" s="363"/>
      <c r="N1" s="363"/>
      <c r="O1" s="363"/>
      <c r="P1" s="363"/>
      <c r="Q1" s="363"/>
      <c r="R1" s="363"/>
      <c r="S1" s="363"/>
      <c r="T1" s="363"/>
      <c r="U1" s="363"/>
      <c r="V1" s="363"/>
      <c r="W1" s="363"/>
      <c r="X1" s="363"/>
      <c r="Y1" s="363"/>
      <c r="Z1" s="363"/>
      <c r="AA1" s="363"/>
      <c r="AB1" s="363"/>
      <c r="AC1" s="363"/>
      <c r="AD1" s="363"/>
      <c r="AE1" s="363"/>
      <c r="AF1" s="363"/>
      <c r="AG1" s="363"/>
      <c r="AH1" s="363"/>
      <c r="AI1" s="363"/>
      <c r="AJ1" s="363"/>
      <c r="AK1" s="363"/>
      <c r="AL1" s="363"/>
      <c r="AM1" s="363"/>
      <c r="AN1" s="363"/>
      <c r="AO1" s="363"/>
      <c r="AP1" s="363"/>
      <c r="AQ1" s="363"/>
      <c r="AR1" s="363"/>
      <c r="AS1" s="363"/>
      <c r="AT1" s="363"/>
      <c r="AU1" s="363"/>
      <c r="AV1" s="363"/>
      <c r="AW1" s="363"/>
      <c r="AX1" s="363"/>
      <c r="AY1" s="363"/>
      <c r="AZ1" s="363"/>
      <c r="BA1" s="363"/>
      <c r="BB1" s="363"/>
      <c r="BC1" s="363"/>
      <c r="BD1" s="363"/>
      <c r="BE1" s="363"/>
      <c r="BF1" s="363"/>
      <c r="BG1" s="363"/>
      <c r="BH1" s="363"/>
      <c r="BI1" s="363"/>
      <c r="BJ1" s="363"/>
      <c r="BK1" s="363"/>
      <c r="BL1" s="363"/>
      <c r="BM1" s="363"/>
      <c r="BN1" s="363"/>
      <c r="BO1" s="363"/>
      <c r="BP1" s="363"/>
      <c r="BQ1" s="363"/>
      <c r="BR1" s="363"/>
      <c r="BS1" s="363"/>
      <c r="BT1" s="363"/>
      <c r="BU1" s="363"/>
      <c r="BV1" s="363"/>
      <c r="BW1" s="363"/>
      <c r="BX1" s="363"/>
      <c r="BY1" s="363"/>
      <c r="BZ1" s="363"/>
      <c r="CA1" s="363"/>
      <c r="CB1" s="363"/>
      <c r="CC1" s="363"/>
      <c r="CD1" s="363"/>
      <c r="CE1" s="363"/>
      <c r="CF1" s="363"/>
      <c r="CG1" s="363"/>
      <c r="CH1" s="363"/>
      <c r="CI1" s="363"/>
      <c r="CJ1" s="363"/>
      <c r="CK1" s="363"/>
      <c r="CL1" s="363"/>
      <c r="CM1" s="363"/>
      <c r="CN1" s="363"/>
      <c r="CO1" s="363"/>
      <c r="CP1" s="363"/>
      <c r="CQ1" s="363"/>
      <c r="CR1" s="363"/>
      <c r="CS1" s="363"/>
      <c r="CT1" s="363"/>
      <c r="CU1" s="363"/>
      <c r="CV1" s="363"/>
      <c r="CW1" s="363"/>
      <c r="CX1" s="363"/>
      <c r="CY1" s="363"/>
      <c r="CZ1" s="363"/>
      <c r="DA1" s="363"/>
      <c r="DB1" s="363"/>
      <c r="DC1" s="363"/>
      <c r="DD1" s="363"/>
      <c r="DE1" s="363"/>
      <c r="DF1" s="363"/>
      <c r="DG1" s="363"/>
      <c r="DH1" s="363"/>
      <c r="DI1" s="363"/>
      <c r="DJ1" s="363"/>
      <c r="DK1" s="363"/>
      <c r="DL1" s="363"/>
      <c r="DM1" s="363"/>
      <c r="DN1" s="363"/>
      <c r="DO1" s="363"/>
      <c r="DP1" s="363"/>
      <c r="DQ1" s="363"/>
      <c r="DR1" s="363"/>
      <c r="DS1" s="363"/>
      <c r="DT1" s="363"/>
      <c r="DU1" s="363"/>
      <c r="DV1" s="363"/>
      <c r="DW1" s="363"/>
      <c r="DX1" s="363"/>
      <c r="DY1" s="363"/>
      <c r="DZ1" s="363"/>
      <c r="EA1" s="363"/>
      <c r="EB1" s="363"/>
      <c r="EC1" s="363"/>
      <c r="ED1" s="363"/>
      <c r="EE1" s="363"/>
      <c r="EF1" s="363"/>
      <c r="EG1" s="363"/>
      <c r="EH1" s="363"/>
      <c r="EI1" s="363"/>
      <c r="EJ1" s="363"/>
      <c r="EK1" s="363"/>
      <c r="EL1" s="363"/>
      <c r="EM1" s="363"/>
      <c r="EN1" s="363"/>
      <c r="EO1" s="363"/>
      <c r="EP1" s="363"/>
      <c r="EQ1" s="363"/>
      <c r="ER1" s="363"/>
      <c r="ES1" s="363"/>
      <c r="ET1" s="363"/>
      <c r="EU1" s="363"/>
      <c r="EV1" s="363"/>
      <c r="EW1" s="363"/>
      <c r="EX1" s="363"/>
      <c r="EY1" s="363"/>
      <c r="EZ1" s="363"/>
      <c r="FA1" s="363"/>
      <c r="FB1" s="363"/>
      <c r="FC1" s="363"/>
      <c r="FD1" s="363"/>
      <c r="FE1" s="363"/>
      <c r="FF1" s="363"/>
      <c r="FG1" s="363"/>
      <c r="FH1" s="363"/>
      <c r="FI1" s="363"/>
      <c r="FJ1" s="363"/>
      <c r="FK1" s="363"/>
      <c r="FL1" s="363"/>
      <c r="FM1" s="363"/>
      <c r="FN1" s="363"/>
      <c r="FO1" s="363"/>
      <c r="FP1" s="363"/>
      <c r="FQ1" s="363"/>
      <c r="FR1" s="363"/>
      <c r="FS1" s="363"/>
      <c r="FT1" s="363"/>
      <c r="FU1" s="363"/>
      <c r="FV1" s="363"/>
      <c r="FW1" s="363"/>
      <c r="FX1" s="363"/>
      <c r="FY1" s="363"/>
      <c r="FZ1" s="363"/>
      <c r="GA1" s="363"/>
      <c r="GB1" s="363"/>
      <c r="GC1" s="363"/>
      <c r="GD1" s="363"/>
      <c r="GE1" s="363"/>
      <c r="GF1" s="363"/>
      <c r="GG1" s="363"/>
      <c r="GH1" s="363"/>
      <c r="GI1" s="363"/>
      <c r="GJ1" s="363"/>
      <c r="GK1" s="363"/>
      <c r="GL1" s="363"/>
      <c r="GM1" s="363"/>
      <c r="GN1" s="363"/>
      <c r="GO1" s="363"/>
      <c r="GP1" s="363"/>
      <c r="GQ1" s="363"/>
      <c r="GR1" s="363"/>
      <c r="GS1" s="363"/>
      <c r="GT1" s="363"/>
      <c r="GU1" s="363"/>
      <c r="GV1" s="363"/>
      <c r="GW1" s="363"/>
      <c r="GX1" s="363"/>
      <c r="GY1" s="363"/>
      <c r="GZ1" s="363"/>
      <c r="HA1" s="363"/>
      <c r="HB1" s="363"/>
      <c r="HC1" s="363"/>
      <c r="HD1" s="363"/>
      <c r="HE1" s="363"/>
      <c r="HF1" s="363"/>
      <c r="HG1" s="363"/>
      <c r="HH1" s="363"/>
      <c r="HI1" s="363"/>
      <c r="HJ1" s="363"/>
      <c r="HK1" s="363"/>
      <c r="HL1" s="363"/>
      <c r="HM1" s="363"/>
      <c r="HN1" s="363"/>
      <c r="HO1" s="363"/>
      <c r="HP1" s="363"/>
      <c r="HQ1" s="363"/>
      <c r="HR1" s="363"/>
      <c r="HS1" s="363"/>
      <c r="HT1" s="363"/>
      <c r="HU1" s="363"/>
      <c r="HV1" s="363"/>
      <c r="HW1" s="363"/>
      <c r="HX1" s="363"/>
      <c r="HY1" s="363"/>
      <c r="HZ1" s="363"/>
      <c r="IA1" s="363"/>
      <c r="IB1" s="363"/>
      <c r="IC1" s="363"/>
      <c r="ID1" s="363"/>
      <c r="IE1" s="363"/>
      <c r="IF1" s="363"/>
      <c r="IG1" s="363"/>
      <c r="IH1" s="363"/>
      <c r="II1" s="363"/>
      <c r="IJ1" s="363"/>
      <c r="IK1" s="363"/>
      <c r="IL1" s="363"/>
      <c r="IM1" s="363"/>
      <c r="IN1" s="363"/>
      <c r="IO1" s="363"/>
      <c r="IP1" s="363"/>
      <c r="IQ1" s="363"/>
      <c r="IR1" s="363"/>
      <c r="IS1" s="363"/>
      <c r="IT1" s="363"/>
      <c r="IU1" s="363"/>
      <c r="IV1" s="363"/>
      <c r="IW1" s="363"/>
      <c r="IX1" s="363"/>
      <c r="IY1" s="363"/>
      <c r="IZ1" s="363"/>
      <c r="JA1" s="363"/>
      <c r="JB1" s="363"/>
      <c r="JC1" s="363"/>
      <c r="JD1" s="363"/>
      <c r="JE1" s="363"/>
    </row>
    <row r="2" spans="1:265" s="706" customFormat="1" ht="22.8" customHeight="1">
      <c r="A2" s="808" t="s">
        <v>293</v>
      </c>
      <c r="B2" s="704"/>
      <c r="C2" s="704"/>
      <c r="D2" s="362"/>
      <c r="E2" s="705"/>
      <c r="F2" s="705"/>
      <c r="G2" s="705"/>
      <c r="H2" s="705"/>
      <c r="I2" s="363"/>
      <c r="J2" s="363"/>
      <c r="K2" s="363"/>
      <c r="L2" s="363"/>
      <c r="M2" s="363"/>
      <c r="N2" s="363"/>
      <c r="O2" s="363"/>
      <c r="P2" s="363"/>
      <c r="Q2" s="363"/>
      <c r="R2" s="363"/>
      <c r="S2" s="363"/>
      <c r="T2" s="363"/>
      <c r="U2" s="363"/>
      <c r="V2" s="363"/>
      <c r="W2" s="363"/>
      <c r="X2" s="363"/>
      <c r="Y2" s="363"/>
      <c r="Z2" s="363"/>
      <c r="AA2" s="363"/>
      <c r="AB2" s="363"/>
      <c r="AC2" s="363"/>
      <c r="AD2" s="363"/>
      <c r="AE2" s="363"/>
      <c r="AF2" s="363"/>
      <c r="AG2" s="363"/>
      <c r="AH2" s="363"/>
      <c r="AI2" s="363"/>
      <c r="AJ2" s="363"/>
      <c r="AK2" s="363"/>
      <c r="AL2" s="363"/>
      <c r="AM2" s="363"/>
      <c r="AN2" s="363"/>
      <c r="AO2" s="363"/>
      <c r="AP2" s="363"/>
      <c r="AQ2" s="363"/>
      <c r="AR2" s="363"/>
      <c r="AS2" s="363"/>
      <c r="AT2" s="363"/>
      <c r="AU2" s="363"/>
      <c r="AV2" s="363"/>
      <c r="AW2" s="363"/>
      <c r="AX2" s="363"/>
      <c r="AY2" s="363"/>
      <c r="AZ2" s="363"/>
      <c r="BA2" s="363"/>
      <c r="BB2" s="363"/>
      <c r="BC2" s="363"/>
      <c r="BD2" s="363"/>
      <c r="BE2" s="363"/>
      <c r="BF2" s="363"/>
      <c r="BG2" s="363"/>
      <c r="BH2" s="363"/>
      <c r="BI2" s="363"/>
      <c r="BJ2" s="363"/>
      <c r="BK2" s="363"/>
      <c r="BL2" s="363"/>
      <c r="BM2" s="363"/>
      <c r="BN2" s="363"/>
      <c r="BO2" s="363"/>
      <c r="BP2" s="363"/>
      <c r="BQ2" s="363"/>
      <c r="BR2" s="363"/>
      <c r="BS2" s="363"/>
      <c r="BT2" s="363"/>
      <c r="BU2" s="363"/>
      <c r="BV2" s="363"/>
      <c r="BW2" s="363"/>
      <c r="BX2" s="363"/>
      <c r="BY2" s="363"/>
      <c r="BZ2" s="363"/>
      <c r="CA2" s="363"/>
      <c r="CB2" s="363"/>
      <c r="CC2" s="363"/>
      <c r="CD2" s="363"/>
      <c r="CE2" s="363"/>
      <c r="CF2" s="363"/>
      <c r="CG2" s="363"/>
      <c r="CH2" s="363"/>
      <c r="CI2" s="363"/>
      <c r="CJ2" s="363"/>
      <c r="CK2" s="363"/>
      <c r="CL2" s="363"/>
      <c r="CM2" s="363"/>
      <c r="CN2" s="363"/>
      <c r="CO2" s="363"/>
      <c r="CP2" s="363"/>
      <c r="CQ2" s="363"/>
      <c r="CR2" s="363"/>
      <c r="CS2" s="363"/>
      <c r="CT2" s="363"/>
      <c r="CU2" s="363"/>
      <c r="CV2" s="363"/>
      <c r="CW2" s="363"/>
      <c r="CX2" s="363"/>
      <c r="CY2" s="363"/>
      <c r="CZ2" s="363"/>
      <c r="DA2" s="363"/>
      <c r="DB2" s="363"/>
      <c r="DC2" s="363"/>
      <c r="DD2" s="363"/>
      <c r="DE2" s="363"/>
      <c r="DF2" s="363"/>
      <c r="DG2" s="363"/>
      <c r="DH2" s="363"/>
      <c r="DI2" s="363"/>
      <c r="DJ2" s="363"/>
      <c r="DK2" s="363"/>
      <c r="DL2" s="363"/>
      <c r="DM2" s="363"/>
      <c r="DN2" s="363"/>
      <c r="DO2" s="363"/>
      <c r="DP2" s="363"/>
      <c r="DQ2" s="363"/>
      <c r="DR2" s="363"/>
      <c r="DS2" s="363"/>
      <c r="DT2" s="363"/>
      <c r="DU2" s="363"/>
      <c r="DV2" s="363"/>
      <c r="DW2" s="363"/>
      <c r="DX2" s="363"/>
      <c r="DY2" s="363"/>
      <c r="DZ2" s="363"/>
      <c r="EA2" s="363"/>
      <c r="EB2" s="363"/>
      <c r="EC2" s="363"/>
      <c r="ED2" s="363"/>
      <c r="EE2" s="363"/>
      <c r="EF2" s="363"/>
      <c r="EG2" s="363"/>
      <c r="EH2" s="363"/>
      <c r="EI2" s="363"/>
      <c r="EJ2" s="363"/>
      <c r="EK2" s="363"/>
      <c r="EL2" s="363"/>
      <c r="EM2" s="363"/>
      <c r="EN2" s="363"/>
      <c r="EO2" s="363"/>
      <c r="EP2" s="363"/>
      <c r="EQ2" s="363"/>
      <c r="ER2" s="363"/>
      <c r="ES2" s="363"/>
      <c r="ET2" s="363"/>
      <c r="EU2" s="363"/>
      <c r="EV2" s="363"/>
      <c r="EW2" s="363"/>
      <c r="EX2" s="363"/>
      <c r="EY2" s="363"/>
      <c r="EZ2" s="363"/>
      <c r="FA2" s="363"/>
      <c r="FB2" s="363"/>
      <c r="FC2" s="363"/>
      <c r="FD2" s="363"/>
      <c r="FE2" s="363"/>
      <c r="FF2" s="363"/>
      <c r="FG2" s="363"/>
      <c r="FH2" s="363"/>
      <c r="FI2" s="363"/>
      <c r="FJ2" s="363"/>
      <c r="FK2" s="363"/>
      <c r="FL2" s="363"/>
      <c r="FM2" s="363"/>
      <c r="FN2" s="363"/>
      <c r="FO2" s="363"/>
      <c r="FP2" s="363"/>
      <c r="FQ2" s="363"/>
      <c r="FR2" s="363"/>
      <c r="FS2" s="363"/>
      <c r="FT2" s="363"/>
      <c r="FU2" s="363"/>
      <c r="FV2" s="363"/>
      <c r="FW2" s="363"/>
      <c r="FX2" s="363"/>
      <c r="FY2" s="363"/>
      <c r="FZ2" s="363"/>
      <c r="GA2" s="363"/>
      <c r="GB2" s="363"/>
      <c r="GC2" s="363"/>
      <c r="GD2" s="363"/>
      <c r="GE2" s="363"/>
      <c r="GF2" s="363"/>
      <c r="GG2" s="363"/>
      <c r="GH2" s="363"/>
      <c r="GI2" s="363"/>
      <c r="GJ2" s="363"/>
      <c r="GK2" s="363"/>
      <c r="GL2" s="363"/>
      <c r="GM2" s="363"/>
      <c r="GN2" s="363"/>
      <c r="GO2" s="363"/>
      <c r="GP2" s="363"/>
      <c r="GQ2" s="363"/>
      <c r="GR2" s="363"/>
      <c r="GS2" s="363"/>
      <c r="GT2" s="363"/>
      <c r="GU2" s="363"/>
      <c r="GV2" s="363"/>
      <c r="GW2" s="363"/>
      <c r="GX2" s="363"/>
      <c r="GY2" s="363"/>
      <c r="GZ2" s="363"/>
      <c r="HA2" s="363"/>
      <c r="HB2" s="363"/>
      <c r="HC2" s="363"/>
      <c r="HD2" s="363"/>
      <c r="HE2" s="363"/>
      <c r="HF2" s="363"/>
      <c r="HG2" s="363"/>
      <c r="HH2" s="363"/>
      <c r="HI2" s="363"/>
      <c r="HJ2" s="363"/>
      <c r="HK2" s="363"/>
      <c r="HL2" s="363"/>
      <c r="HM2" s="363"/>
      <c r="HN2" s="363"/>
      <c r="HO2" s="363"/>
      <c r="HP2" s="363"/>
      <c r="HQ2" s="363"/>
      <c r="HR2" s="363"/>
      <c r="HS2" s="363"/>
      <c r="HT2" s="363"/>
      <c r="HU2" s="363"/>
      <c r="HV2" s="363"/>
      <c r="HW2" s="363"/>
      <c r="HX2" s="363"/>
      <c r="HY2" s="363"/>
      <c r="HZ2" s="363"/>
      <c r="IA2" s="363"/>
      <c r="IB2" s="363"/>
      <c r="IC2" s="363"/>
      <c r="ID2" s="363"/>
      <c r="IE2" s="363"/>
      <c r="IF2" s="363"/>
      <c r="IG2" s="363"/>
      <c r="IH2" s="363"/>
      <c r="II2" s="363"/>
      <c r="IJ2" s="363"/>
      <c r="IK2" s="363"/>
      <c r="IL2" s="363"/>
      <c r="IM2" s="363"/>
      <c r="IN2" s="363"/>
      <c r="IO2" s="363"/>
      <c r="IP2" s="363"/>
      <c r="IQ2" s="363"/>
      <c r="IR2" s="363"/>
      <c r="IS2" s="363"/>
      <c r="IT2" s="363"/>
      <c r="IU2" s="363"/>
      <c r="IV2" s="363"/>
      <c r="IW2" s="363"/>
      <c r="IX2" s="363"/>
      <c r="IY2" s="363"/>
      <c r="IZ2" s="363"/>
      <c r="JA2" s="363"/>
      <c r="JB2" s="363"/>
      <c r="JC2" s="363"/>
      <c r="JD2" s="363"/>
      <c r="JE2" s="363"/>
    </row>
    <row r="3" spans="1:265" s="706" customFormat="1" ht="22.8" customHeight="1" thickBot="1">
      <c r="A3" s="363" t="s">
        <v>66</v>
      </c>
      <c r="B3" s="362"/>
      <c r="C3" s="363"/>
      <c r="D3" s="363"/>
      <c r="E3" s="364"/>
      <c r="F3" s="364"/>
      <c r="G3" s="159">
        <v>0.04</v>
      </c>
      <c r="H3" s="365"/>
      <c r="I3" s="707"/>
      <c r="J3" s="707"/>
      <c r="K3" s="707"/>
      <c r="L3" s="707"/>
      <c r="M3" s="708" t="s">
        <v>165</v>
      </c>
      <c r="N3" s="708"/>
      <c r="O3" s="708"/>
      <c r="P3" s="708"/>
      <c r="Q3" s="708"/>
      <c r="IX3" s="363"/>
      <c r="IY3" s="709" t="s">
        <v>174</v>
      </c>
      <c r="IZ3" s="363"/>
      <c r="JA3" s="363"/>
      <c r="JB3" s="363"/>
      <c r="JC3" s="363"/>
      <c r="JD3" s="363"/>
      <c r="JE3" s="363"/>
    </row>
    <row r="4" spans="1:265" s="45" customFormat="1" ht="30" customHeight="1" thickBot="1">
      <c r="A4" s="686" t="s">
        <v>0</v>
      </c>
      <c r="B4" s="436" t="s">
        <v>2</v>
      </c>
      <c r="C4" s="436" t="s">
        <v>6</v>
      </c>
      <c r="D4" s="436" t="s">
        <v>9</v>
      </c>
      <c r="E4" s="437" t="s">
        <v>26</v>
      </c>
      <c r="F4" s="438" t="s">
        <v>3</v>
      </c>
      <c r="G4" s="437" t="s">
        <v>29</v>
      </c>
      <c r="H4" s="439" t="s">
        <v>4</v>
      </c>
      <c r="I4" s="348"/>
      <c r="J4" s="356"/>
      <c r="K4" s="826"/>
      <c r="L4" s="826"/>
      <c r="M4" s="347" t="s">
        <v>166</v>
      </c>
      <c r="N4" s="347" t="s">
        <v>167</v>
      </c>
      <c r="O4" s="347" t="s">
        <v>168</v>
      </c>
      <c r="P4" s="347" t="s">
        <v>169</v>
      </c>
      <c r="Q4" s="347" t="s">
        <v>170</v>
      </c>
      <c r="IX4" s="385"/>
      <c r="IY4" s="353" t="s">
        <v>94</v>
      </c>
      <c r="IZ4" s="354" t="s">
        <v>172</v>
      </c>
      <c r="JA4" s="354" t="s">
        <v>173</v>
      </c>
      <c r="JB4" s="354" t="s">
        <v>175</v>
      </c>
      <c r="JC4" s="354" t="s">
        <v>176</v>
      </c>
      <c r="JD4" s="354" t="s">
        <v>177</v>
      </c>
      <c r="JE4" s="385"/>
    </row>
    <row r="5" spans="1:265" s="175" customFormat="1" ht="19.95" customHeight="1">
      <c r="A5" s="710">
        <v>1</v>
      </c>
      <c r="B5" s="711" t="s">
        <v>94</v>
      </c>
      <c r="C5" s="425" t="s">
        <v>70</v>
      </c>
      <c r="D5" s="426" t="s">
        <v>64</v>
      </c>
      <c r="E5" s="427">
        <v>2</v>
      </c>
      <c r="F5" s="428">
        <v>46199.16</v>
      </c>
      <c r="G5" s="429">
        <f>F5*G3</f>
        <v>1847.9664000000002</v>
      </c>
      <c r="H5" s="430">
        <f>F5-G5</f>
        <v>44351.193600000006</v>
      </c>
      <c r="I5" s="453" t="s">
        <v>179</v>
      </c>
      <c r="J5" s="357"/>
      <c r="K5" s="356"/>
      <c r="L5" s="356"/>
      <c r="M5" s="349">
        <f>IZ5+JA5+JB5+JC5+JD5</f>
        <v>0</v>
      </c>
      <c r="N5" s="349">
        <f>1140.48/2</f>
        <v>570.24</v>
      </c>
      <c r="O5" s="351"/>
      <c r="P5" s="350"/>
      <c r="Q5" s="351"/>
      <c r="IX5" s="361"/>
      <c r="IY5" s="346" t="s">
        <v>70</v>
      </c>
      <c r="IZ5" s="346"/>
      <c r="JA5" s="346"/>
      <c r="JB5" s="346"/>
      <c r="JC5" s="346"/>
      <c r="JD5" s="346"/>
      <c r="JE5" s="361"/>
    </row>
    <row r="6" spans="1:265" s="175" customFormat="1" ht="19.95" customHeight="1">
      <c r="A6" s="712"/>
      <c r="B6" s="334"/>
      <c r="C6" s="328" t="s">
        <v>71</v>
      </c>
      <c r="D6" s="176"/>
      <c r="E6" s="431">
        <v>0</v>
      </c>
      <c r="F6" s="432">
        <v>0</v>
      </c>
      <c r="G6" s="433">
        <f>F6*$G$3</f>
        <v>0</v>
      </c>
      <c r="H6" s="434">
        <f>F6-G6</f>
        <v>0</v>
      </c>
      <c r="I6" s="358"/>
      <c r="J6" s="358"/>
      <c r="K6" s="357"/>
      <c r="L6" s="357"/>
      <c r="M6" s="351"/>
      <c r="N6" s="352"/>
      <c r="O6" s="351"/>
      <c r="P6" s="351"/>
      <c r="Q6" s="351"/>
      <c r="IX6" s="361"/>
      <c r="IY6" s="346" t="s">
        <v>71</v>
      </c>
      <c r="IZ6" s="346"/>
      <c r="JA6" s="346"/>
      <c r="JB6" s="346"/>
      <c r="JC6" s="346"/>
      <c r="JD6" s="346"/>
      <c r="JE6" s="361"/>
    </row>
    <row r="7" spans="1:265" s="175" customFormat="1" ht="19.95" customHeight="1">
      <c r="A7" s="712"/>
      <c r="B7" s="334"/>
      <c r="C7" s="328" t="s">
        <v>73</v>
      </c>
      <c r="D7" s="176"/>
      <c r="E7" s="431">
        <v>1</v>
      </c>
      <c r="F7" s="432">
        <v>7275.6</v>
      </c>
      <c r="G7" s="433">
        <f t="shared" ref="G7:G14" si="0">F7*$G$3</f>
        <v>291.024</v>
      </c>
      <c r="H7" s="434">
        <f t="shared" ref="H7:H14" si="1">F7-G7</f>
        <v>6984.576</v>
      </c>
      <c r="I7" s="358"/>
      <c r="J7" s="358"/>
      <c r="K7" s="358"/>
      <c r="L7" s="358"/>
      <c r="M7" s="351"/>
      <c r="N7" s="352"/>
      <c r="O7" s="351"/>
      <c r="P7" s="351"/>
      <c r="Q7" s="351"/>
      <c r="IX7" s="361"/>
      <c r="IY7" s="346" t="s">
        <v>73</v>
      </c>
      <c r="IZ7" s="346"/>
      <c r="JA7" s="346"/>
      <c r="JB7" s="346"/>
      <c r="JC7" s="346"/>
      <c r="JD7" s="346"/>
      <c r="JE7" s="361"/>
    </row>
    <row r="8" spans="1:265" s="175" customFormat="1" ht="19.95" customHeight="1">
      <c r="A8" s="712"/>
      <c r="B8" s="334"/>
      <c r="C8" s="328" t="s">
        <v>74</v>
      </c>
      <c r="D8" s="176"/>
      <c r="E8" s="431">
        <v>2</v>
      </c>
      <c r="F8" s="432">
        <v>8245</v>
      </c>
      <c r="G8" s="433">
        <f>F8*$G$3</f>
        <v>329.8</v>
      </c>
      <c r="H8" s="434">
        <f t="shared" si="1"/>
        <v>7915.2</v>
      </c>
      <c r="I8" s="358"/>
      <c r="J8" s="358"/>
      <c r="K8" s="358"/>
      <c r="L8" s="358"/>
      <c r="M8" s="351"/>
      <c r="N8" s="352"/>
      <c r="O8" s="351"/>
      <c r="P8" s="351"/>
      <c r="Q8" s="351"/>
      <c r="IX8" s="361"/>
      <c r="IY8" s="346" t="s">
        <v>74</v>
      </c>
      <c r="IZ8" s="346"/>
      <c r="JA8" s="346"/>
      <c r="JB8" s="346"/>
      <c r="JC8" s="346"/>
      <c r="JD8" s="346"/>
      <c r="JE8" s="361"/>
    </row>
    <row r="9" spans="1:265" s="175" customFormat="1" ht="19.95" customHeight="1">
      <c r="A9" s="712"/>
      <c r="B9" s="334"/>
      <c r="C9" s="328" t="s">
        <v>75</v>
      </c>
      <c r="D9" s="176"/>
      <c r="E9" s="431">
        <v>3</v>
      </c>
      <c r="F9" s="432">
        <v>63379.8</v>
      </c>
      <c r="G9" s="433">
        <f t="shared" si="0"/>
        <v>2535.192</v>
      </c>
      <c r="H9" s="434">
        <f t="shared" si="1"/>
        <v>60844.608</v>
      </c>
      <c r="I9" s="358"/>
      <c r="J9" s="358"/>
      <c r="K9" s="679"/>
      <c r="L9" s="358"/>
      <c r="M9" s="351"/>
      <c r="N9" s="352"/>
      <c r="O9" s="351"/>
      <c r="P9" s="351"/>
      <c r="Q9" s="351"/>
      <c r="IX9" s="361"/>
      <c r="IY9" s="346" t="s">
        <v>75</v>
      </c>
      <c r="IZ9" s="346"/>
      <c r="JA9" s="346"/>
      <c r="JB9" s="346"/>
      <c r="JC9" s="346"/>
      <c r="JD9" s="346"/>
      <c r="JE9" s="361"/>
    </row>
    <row r="10" spans="1:265" s="175" customFormat="1" ht="19.95" customHeight="1">
      <c r="A10" s="712"/>
      <c r="B10" s="334"/>
      <c r="C10" s="328" t="s">
        <v>152</v>
      </c>
      <c r="D10" s="176"/>
      <c r="E10" s="431">
        <v>0</v>
      </c>
      <c r="F10" s="432">
        <v>0</v>
      </c>
      <c r="G10" s="433">
        <f t="shared" si="0"/>
        <v>0</v>
      </c>
      <c r="H10" s="434">
        <f t="shared" si="1"/>
        <v>0</v>
      </c>
      <c r="I10" s="358"/>
      <c r="J10" s="358"/>
      <c r="K10" s="356"/>
      <c r="L10" s="356"/>
      <c r="M10" s="351"/>
      <c r="N10" s="352"/>
      <c r="O10" s="351"/>
      <c r="P10" s="351"/>
      <c r="Q10" s="351"/>
      <c r="IX10" s="361"/>
      <c r="IY10" s="346" t="s">
        <v>152</v>
      </c>
      <c r="IZ10" s="346"/>
      <c r="JA10" s="346"/>
      <c r="JB10" s="346"/>
      <c r="JC10" s="346"/>
      <c r="JD10" s="346"/>
      <c r="JE10" s="361"/>
    </row>
    <row r="11" spans="1:265" s="175" customFormat="1" ht="19.95" customHeight="1">
      <c r="A11" s="712"/>
      <c r="B11" s="334"/>
      <c r="C11" s="328" t="s">
        <v>130</v>
      </c>
      <c r="D11" s="176"/>
      <c r="E11" s="431">
        <v>1</v>
      </c>
      <c r="F11" s="432">
        <v>1000</v>
      </c>
      <c r="G11" s="433">
        <f t="shared" si="0"/>
        <v>40</v>
      </c>
      <c r="H11" s="434">
        <f t="shared" si="1"/>
        <v>960</v>
      </c>
      <c r="I11" s="358"/>
      <c r="J11" s="358"/>
      <c r="K11" s="357"/>
      <c r="L11" s="357"/>
      <c r="M11" s="351"/>
      <c r="N11" s="352"/>
      <c r="O11" s="351"/>
      <c r="P11" s="351"/>
      <c r="Q11" s="351"/>
      <c r="IX11" s="361"/>
      <c r="IY11" s="346" t="s">
        <v>130</v>
      </c>
      <c r="IZ11" s="346"/>
      <c r="JA11" s="346"/>
      <c r="JB11" s="346"/>
      <c r="JC11" s="346"/>
      <c r="JD11" s="346"/>
      <c r="JE11" s="361"/>
    </row>
    <row r="12" spans="1:265" s="175" customFormat="1" ht="19.95" customHeight="1">
      <c r="A12" s="712"/>
      <c r="B12" s="334"/>
      <c r="C12" s="328" t="s">
        <v>151</v>
      </c>
      <c r="D12" s="176"/>
      <c r="E12" s="431">
        <v>1</v>
      </c>
      <c r="F12" s="432">
        <v>8341.67</v>
      </c>
      <c r="G12" s="433">
        <f>F12*$G$3</f>
        <v>333.66680000000002</v>
      </c>
      <c r="H12" s="434">
        <f t="shared" si="1"/>
        <v>8008.0032000000001</v>
      </c>
      <c r="I12" s="358"/>
      <c r="J12" s="358"/>
      <c r="K12" s="358"/>
      <c r="L12" s="358"/>
      <c r="M12" s="351"/>
      <c r="N12" s="352"/>
      <c r="O12" s="351"/>
      <c r="P12" s="351"/>
      <c r="Q12" s="351"/>
      <c r="IX12" s="361"/>
      <c r="IY12" s="346" t="s">
        <v>151</v>
      </c>
      <c r="IZ12" s="346"/>
      <c r="JA12" s="346"/>
      <c r="JB12" s="346"/>
      <c r="JC12" s="346"/>
      <c r="JD12" s="346"/>
      <c r="JE12" s="361"/>
    </row>
    <row r="13" spans="1:265" s="175" customFormat="1" ht="19.95" customHeight="1">
      <c r="A13" s="712"/>
      <c r="B13" s="334"/>
      <c r="C13" s="328" t="s">
        <v>72</v>
      </c>
      <c r="D13" s="176"/>
      <c r="E13" s="431">
        <v>0</v>
      </c>
      <c r="F13" s="432">
        <v>0</v>
      </c>
      <c r="G13" s="433">
        <f t="shared" si="0"/>
        <v>0</v>
      </c>
      <c r="H13" s="434">
        <f t="shared" si="1"/>
        <v>0</v>
      </c>
      <c r="I13" s="358"/>
      <c r="J13" s="358"/>
      <c r="K13" s="358"/>
      <c r="L13" s="358"/>
      <c r="M13" s="351"/>
      <c r="N13" s="352"/>
      <c r="O13" s="351"/>
      <c r="P13" s="351"/>
      <c r="Q13" s="351"/>
      <c r="IX13" s="361"/>
      <c r="IY13" s="346" t="s">
        <v>72</v>
      </c>
      <c r="IZ13" s="346"/>
      <c r="JA13" s="346"/>
      <c r="JB13" s="346"/>
      <c r="JC13" s="346"/>
      <c r="JD13" s="346"/>
      <c r="JE13" s="361"/>
    </row>
    <row r="14" spans="1:265" s="175" customFormat="1" ht="19.95" customHeight="1" thickBot="1">
      <c r="A14" s="712"/>
      <c r="B14" s="334"/>
      <c r="C14" s="328" t="s">
        <v>67</v>
      </c>
      <c r="D14" s="176"/>
      <c r="E14" s="431">
        <v>0</v>
      </c>
      <c r="F14" s="432">
        <v>0</v>
      </c>
      <c r="G14" s="433">
        <f t="shared" si="0"/>
        <v>0</v>
      </c>
      <c r="H14" s="434">
        <f t="shared" si="1"/>
        <v>0</v>
      </c>
      <c r="I14" s="358"/>
      <c r="J14" s="358"/>
      <c r="K14" s="358"/>
      <c r="L14" s="358"/>
      <c r="M14" s="351">
        <f>2280.96/2</f>
        <v>1140.48</v>
      </c>
      <c r="N14" s="351">
        <f>2280.96/2</f>
        <v>1140.48</v>
      </c>
      <c r="O14" s="351"/>
      <c r="P14" s="351"/>
      <c r="Q14" s="351"/>
      <c r="IX14" s="361"/>
      <c r="IY14" s="346" t="s">
        <v>67</v>
      </c>
      <c r="IZ14" s="346"/>
      <c r="JA14" s="346"/>
      <c r="JB14" s="346"/>
      <c r="JC14" s="346"/>
      <c r="JD14" s="346"/>
      <c r="JE14" s="361"/>
    </row>
    <row r="15" spans="1:265" s="177" customFormat="1" ht="19.95" customHeight="1">
      <c r="A15" s="440">
        <v>2</v>
      </c>
      <c r="B15" s="441" t="s">
        <v>141</v>
      </c>
      <c r="C15" s="425" t="s">
        <v>70</v>
      </c>
      <c r="D15" s="716" t="s">
        <v>146</v>
      </c>
      <c r="E15" s="442">
        <f>COUNTIFS(Table1351452010[[#All],[Sales]],"คุณนิมิต จุ้ยอยู่ทอง",Table1351452010[[#All],[ค่าเชื่อมสัญญาณ/
ค่าติดตั้ง/
ค่าขายอุปกรณ์]],"&gt;1")</f>
        <v>1</v>
      </c>
      <c r="F15" s="443">
        <v>3075</v>
      </c>
      <c r="G15" s="429">
        <v>0</v>
      </c>
      <c r="H15" s="430">
        <f>F15-G15</f>
        <v>3075</v>
      </c>
      <c r="I15" s="685" t="s">
        <v>178</v>
      </c>
      <c r="J15" s="359"/>
      <c r="K15" s="358"/>
      <c r="L15" s="358"/>
      <c r="M15" s="380"/>
      <c r="N15" s="361"/>
      <c r="O15" s="382"/>
      <c r="P15" s="361"/>
      <c r="Q15" s="361"/>
      <c r="R15" s="361"/>
      <c r="S15" s="361"/>
      <c r="T15" s="361"/>
      <c r="U15" s="361"/>
      <c r="V15" s="361"/>
      <c r="W15" s="361"/>
      <c r="X15" s="361"/>
      <c r="Y15" s="361"/>
      <c r="Z15" s="361"/>
      <c r="AA15" s="361"/>
      <c r="AB15" s="361"/>
      <c r="AC15" s="361"/>
      <c r="AD15" s="361"/>
      <c r="AE15" s="361"/>
      <c r="AF15" s="361"/>
      <c r="AG15" s="361"/>
      <c r="AH15" s="361"/>
      <c r="AI15" s="361"/>
      <c r="AJ15" s="361"/>
      <c r="AK15" s="361"/>
      <c r="AL15" s="361"/>
      <c r="AM15" s="361"/>
      <c r="AN15" s="361"/>
      <c r="AO15" s="361"/>
      <c r="AP15" s="361"/>
      <c r="AQ15" s="361"/>
      <c r="AR15" s="361"/>
      <c r="AS15" s="361"/>
      <c r="AT15" s="361"/>
      <c r="AU15" s="361"/>
      <c r="AV15" s="361"/>
      <c r="AW15" s="361"/>
      <c r="AX15" s="361"/>
      <c r="AY15" s="361"/>
      <c r="AZ15" s="361"/>
      <c r="BA15" s="361"/>
      <c r="BB15" s="361"/>
      <c r="BC15" s="361"/>
      <c r="BD15" s="361"/>
      <c r="BE15" s="361"/>
      <c r="BF15" s="361"/>
      <c r="BG15" s="361"/>
      <c r="BH15" s="361"/>
      <c r="BI15" s="361"/>
      <c r="BJ15" s="361"/>
      <c r="BK15" s="361"/>
      <c r="BL15" s="361"/>
      <c r="BM15" s="361"/>
      <c r="BN15" s="361"/>
      <c r="BO15" s="361"/>
      <c r="BP15" s="361"/>
      <c r="BQ15" s="361"/>
      <c r="BR15" s="361"/>
      <c r="BS15" s="361"/>
      <c r="BT15" s="361"/>
      <c r="BU15" s="361"/>
      <c r="BV15" s="361"/>
      <c r="BW15" s="361"/>
      <c r="BX15" s="361"/>
      <c r="BY15" s="361"/>
      <c r="BZ15" s="361"/>
      <c r="CA15" s="361"/>
      <c r="CB15" s="361"/>
      <c r="CC15" s="361"/>
      <c r="CD15" s="361"/>
      <c r="CE15" s="361"/>
      <c r="CF15" s="361"/>
      <c r="CG15" s="361"/>
      <c r="CH15" s="361"/>
      <c r="CI15" s="361"/>
      <c r="CJ15" s="361"/>
      <c r="CK15" s="361"/>
      <c r="CL15" s="361"/>
      <c r="CM15" s="361"/>
      <c r="CN15" s="361"/>
      <c r="CO15" s="361"/>
      <c r="CP15" s="361"/>
      <c r="CQ15" s="361"/>
      <c r="CR15" s="361"/>
      <c r="CS15" s="361"/>
      <c r="CT15" s="361"/>
      <c r="CU15" s="361"/>
      <c r="CV15" s="361"/>
      <c r="CW15" s="361"/>
      <c r="CX15" s="361"/>
      <c r="CY15" s="361"/>
      <c r="CZ15" s="361"/>
      <c r="DA15" s="361"/>
      <c r="DB15" s="361"/>
      <c r="DC15" s="361"/>
      <c r="DD15" s="361"/>
      <c r="DE15" s="361"/>
      <c r="DF15" s="361"/>
      <c r="DG15" s="361"/>
      <c r="DH15" s="361"/>
      <c r="DI15" s="361"/>
      <c r="DJ15" s="361"/>
      <c r="DK15" s="361"/>
      <c r="DL15" s="361"/>
      <c r="DM15" s="361"/>
      <c r="DN15" s="361"/>
      <c r="DO15" s="361"/>
      <c r="DP15" s="361"/>
      <c r="DQ15" s="361"/>
      <c r="DR15" s="361"/>
      <c r="DS15" s="361"/>
      <c r="DT15" s="361"/>
      <c r="DU15" s="361"/>
      <c r="DV15" s="361"/>
      <c r="DW15" s="361"/>
      <c r="DX15" s="361"/>
      <c r="DY15" s="361"/>
      <c r="DZ15" s="361"/>
      <c r="EA15" s="361"/>
      <c r="EB15" s="361"/>
      <c r="EC15" s="361"/>
      <c r="ED15" s="361"/>
      <c r="EE15" s="361"/>
      <c r="EF15" s="361"/>
      <c r="EG15" s="361"/>
      <c r="EH15" s="361"/>
      <c r="EI15" s="361"/>
      <c r="EJ15" s="361"/>
      <c r="EK15" s="361"/>
      <c r="EL15" s="361"/>
      <c r="EM15" s="361"/>
      <c r="EN15" s="361"/>
      <c r="EO15" s="361"/>
      <c r="EP15" s="361"/>
      <c r="EQ15" s="361"/>
      <c r="ER15" s="361"/>
      <c r="ES15" s="361"/>
      <c r="ET15" s="361"/>
      <c r="EU15" s="361"/>
      <c r="EV15" s="361"/>
      <c r="EW15" s="361"/>
      <c r="EX15" s="361"/>
      <c r="EY15" s="361"/>
      <c r="EZ15" s="361"/>
      <c r="FA15" s="361"/>
      <c r="FB15" s="361"/>
      <c r="FC15" s="361"/>
      <c r="FD15" s="361"/>
      <c r="FE15" s="361"/>
      <c r="FF15" s="361"/>
      <c r="FG15" s="361"/>
      <c r="FH15" s="361"/>
      <c r="FI15" s="361"/>
      <c r="FJ15" s="361"/>
      <c r="FK15" s="361"/>
      <c r="FL15" s="361"/>
      <c r="FM15" s="361"/>
      <c r="FN15" s="361"/>
      <c r="FO15" s="361"/>
      <c r="FP15" s="361"/>
      <c r="FQ15" s="361"/>
      <c r="FR15" s="361"/>
      <c r="FS15" s="361"/>
      <c r="FT15" s="361"/>
      <c r="FU15" s="361"/>
      <c r="FV15" s="361"/>
      <c r="FW15" s="361"/>
      <c r="FX15" s="361"/>
      <c r="FY15" s="361"/>
      <c r="FZ15" s="361"/>
      <c r="GA15" s="361"/>
      <c r="GB15" s="361"/>
      <c r="GC15" s="361"/>
      <c r="GD15" s="361"/>
      <c r="GE15" s="361"/>
      <c r="GF15" s="361"/>
      <c r="GG15" s="361"/>
      <c r="GH15" s="361"/>
      <c r="GI15" s="361"/>
      <c r="GJ15" s="361"/>
      <c r="GK15" s="361"/>
      <c r="GL15" s="361"/>
      <c r="GM15" s="361"/>
      <c r="GN15" s="361"/>
      <c r="GO15" s="361"/>
      <c r="GP15" s="361"/>
      <c r="GQ15" s="361"/>
      <c r="GR15" s="361"/>
      <c r="GS15" s="361"/>
      <c r="GT15" s="361"/>
      <c r="GU15" s="361"/>
      <c r="GV15" s="361"/>
      <c r="GW15" s="361"/>
      <c r="GX15" s="361"/>
      <c r="GY15" s="361"/>
      <c r="GZ15" s="361"/>
      <c r="HA15" s="361"/>
      <c r="HB15" s="361"/>
      <c r="HC15" s="361"/>
      <c r="HD15" s="361"/>
      <c r="HE15" s="361"/>
      <c r="HF15" s="361"/>
      <c r="HG15" s="361"/>
      <c r="HH15" s="361"/>
      <c r="HI15" s="361"/>
      <c r="HJ15" s="361"/>
      <c r="HK15" s="361"/>
      <c r="HL15" s="361"/>
      <c r="HM15" s="361"/>
      <c r="HN15" s="361"/>
      <c r="HO15" s="361"/>
      <c r="HP15" s="361"/>
      <c r="HQ15" s="361"/>
      <c r="HR15" s="361"/>
      <c r="HS15" s="361"/>
      <c r="HT15" s="361"/>
      <c r="HU15" s="361"/>
      <c r="HV15" s="361"/>
      <c r="HW15" s="361"/>
      <c r="HX15" s="361"/>
      <c r="HY15" s="361"/>
      <c r="HZ15" s="361"/>
      <c r="IA15" s="361"/>
      <c r="IB15" s="361"/>
      <c r="IC15" s="361"/>
      <c r="ID15" s="361"/>
      <c r="IE15" s="361"/>
      <c r="IF15" s="361"/>
      <c r="IG15" s="361"/>
      <c r="IH15" s="361"/>
      <c r="II15" s="361"/>
      <c r="IJ15" s="361"/>
      <c r="IK15" s="361"/>
      <c r="IL15" s="361"/>
      <c r="IM15" s="361"/>
      <c r="IN15" s="361"/>
      <c r="IO15" s="361"/>
      <c r="IP15" s="383"/>
      <c r="IQ15" s="383"/>
      <c r="IR15" s="383"/>
      <c r="IS15" s="383"/>
      <c r="IT15" s="383"/>
      <c r="IU15" s="383"/>
      <c r="IV15" s="383"/>
      <c r="IW15" s="383"/>
      <c r="IX15" s="384"/>
      <c r="IY15" s="355" t="s">
        <v>180</v>
      </c>
      <c r="IZ15" s="355"/>
      <c r="JA15" s="355"/>
      <c r="JB15" s="355"/>
      <c r="JC15" s="355"/>
      <c r="JD15" s="355"/>
      <c r="JE15" s="383"/>
    </row>
    <row r="16" spans="1:265" s="179" customFormat="1" ht="19.95" customHeight="1">
      <c r="A16" s="444"/>
      <c r="B16" s="333" t="s">
        <v>142</v>
      </c>
      <c r="C16" s="328" t="s">
        <v>71</v>
      </c>
      <c r="D16" s="717" t="s">
        <v>147</v>
      </c>
      <c r="E16" s="445">
        <f>COUNTIFS(Table1351452010[[#All],[Sales]],"คุณธวัช มีแสง",Table1351452010[[#All],[ค่าเชื่อมสัญญาณ/
ค่าติดตั้ง/
ค่าขายอุปกรณ์]],"&gt;1")</f>
        <v>0</v>
      </c>
      <c r="F16" s="446">
        <f>SUMIF(Table1351452010[[#All],[Sales]],"คุณธวัช มีแสง",Table1351452010[[#All],[Total
ค่าเชื่มสัญญาณ/ค่าติดตั้ง/
ค่าขายอุปกรณ์
(2)]])</f>
        <v>0</v>
      </c>
      <c r="G16" s="433">
        <v>0</v>
      </c>
      <c r="H16" s="435">
        <f t="shared" ref="H16:H24" si="2">F16-G16</f>
        <v>0</v>
      </c>
      <c r="I16" s="359"/>
      <c r="J16" s="359"/>
      <c r="K16" s="358"/>
      <c r="L16" s="358"/>
      <c r="M16" s="380"/>
      <c r="N16" s="361"/>
      <c r="O16" s="361"/>
      <c r="P16" s="361"/>
      <c r="Q16" s="361"/>
      <c r="R16" s="361"/>
      <c r="S16" s="361"/>
      <c r="T16" s="361"/>
      <c r="U16" s="361"/>
      <c r="V16" s="361"/>
      <c r="W16" s="361"/>
      <c r="X16" s="361"/>
      <c r="Y16" s="361"/>
      <c r="Z16" s="361"/>
      <c r="AA16" s="361"/>
      <c r="AB16" s="361"/>
      <c r="AC16" s="361"/>
      <c r="AD16" s="361"/>
      <c r="AE16" s="361"/>
      <c r="AF16" s="361"/>
      <c r="AG16" s="361"/>
      <c r="AH16" s="361"/>
      <c r="AI16" s="361"/>
      <c r="AJ16" s="361"/>
      <c r="AK16" s="361"/>
      <c r="AL16" s="361"/>
      <c r="AM16" s="361"/>
      <c r="AN16" s="361"/>
      <c r="AO16" s="361"/>
      <c r="AP16" s="361"/>
      <c r="AQ16" s="361"/>
      <c r="AR16" s="361"/>
      <c r="AS16" s="361"/>
      <c r="AT16" s="361"/>
      <c r="AU16" s="361"/>
      <c r="AV16" s="361"/>
      <c r="AW16" s="361"/>
      <c r="AX16" s="361"/>
      <c r="AY16" s="361"/>
      <c r="AZ16" s="361"/>
      <c r="BA16" s="361"/>
      <c r="BB16" s="361"/>
      <c r="BC16" s="361"/>
      <c r="BD16" s="361"/>
      <c r="BE16" s="361"/>
      <c r="BF16" s="361"/>
      <c r="BG16" s="361"/>
      <c r="BH16" s="361"/>
      <c r="BI16" s="361"/>
      <c r="BJ16" s="361"/>
      <c r="BK16" s="361"/>
      <c r="BL16" s="361"/>
      <c r="BM16" s="361"/>
      <c r="BN16" s="361"/>
      <c r="BO16" s="361"/>
      <c r="BP16" s="361"/>
      <c r="BQ16" s="361"/>
      <c r="BR16" s="361"/>
      <c r="BS16" s="361"/>
      <c r="BT16" s="361"/>
      <c r="BU16" s="361"/>
      <c r="BV16" s="361"/>
      <c r="BW16" s="361"/>
      <c r="BX16" s="361"/>
      <c r="BY16" s="361"/>
      <c r="BZ16" s="361"/>
      <c r="CA16" s="361"/>
      <c r="CB16" s="361"/>
      <c r="CC16" s="361"/>
      <c r="CD16" s="361"/>
      <c r="CE16" s="361"/>
      <c r="CF16" s="361"/>
      <c r="CG16" s="361"/>
      <c r="CH16" s="361"/>
      <c r="CI16" s="361"/>
      <c r="CJ16" s="361"/>
      <c r="CK16" s="361"/>
      <c r="CL16" s="361"/>
      <c r="CM16" s="361"/>
      <c r="CN16" s="361"/>
      <c r="CO16" s="361"/>
      <c r="CP16" s="361"/>
      <c r="CQ16" s="361"/>
      <c r="CR16" s="361"/>
      <c r="CS16" s="361"/>
      <c r="CT16" s="361"/>
      <c r="CU16" s="361"/>
      <c r="CV16" s="361"/>
      <c r="CW16" s="361"/>
      <c r="CX16" s="361"/>
      <c r="CY16" s="361"/>
      <c r="CZ16" s="361"/>
      <c r="DA16" s="361"/>
      <c r="DB16" s="361"/>
      <c r="DC16" s="361"/>
      <c r="DD16" s="361"/>
      <c r="DE16" s="361"/>
      <c r="DF16" s="361"/>
      <c r="DG16" s="361"/>
      <c r="DH16" s="361"/>
      <c r="DI16" s="361"/>
      <c r="DJ16" s="361"/>
      <c r="DK16" s="361"/>
      <c r="DL16" s="361"/>
      <c r="DM16" s="361"/>
      <c r="DN16" s="361"/>
      <c r="DO16" s="361"/>
      <c r="DP16" s="361"/>
      <c r="DQ16" s="361"/>
      <c r="DR16" s="361"/>
      <c r="DS16" s="361"/>
      <c r="DT16" s="361"/>
      <c r="DU16" s="361"/>
      <c r="DV16" s="361"/>
      <c r="DW16" s="361"/>
      <c r="DX16" s="361"/>
      <c r="DY16" s="361"/>
      <c r="DZ16" s="361"/>
      <c r="EA16" s="361"/>
      <c r="EB16" s="361"/>
      <c r="EC16" s="361"/>
      <c r="ED16" s="361"/>
      <c r="EE16" s="361"/>
      <c r="EF16" s="361"/>
      <c r="EG16" s="361"/>
      <c r="EH16" s="361"/>
      <c r="EI16" s="361"/>
      <c r="EJ16" s="361"/>
      <c r="EK16" s="361"/>
      <c r="EL16" s="361"/>
      <c r="EM16" s="361"/>
      <c r="EN16" s="361"/>
      <c r="EO16" s="361"/>
      <c r="EP16" s="361"/>
      <c r="EQ16" s="361"/>
      <c r="ER16" s="361"/>
      <c r="ES16" s="361"/>
      <c r="ET16" s="361"/>
      <c r="EU16" s="361"/>
      <c r="EV16" s="361"/>
      <c r="EW16" s="361"/>
      <c r="EX16" s="361"/>
      <c r="EY16" s="361"/>
      <c r="EZ16" s="361"/>
      <c r="FA16" s="361"/>
      <c r="FB16" s="361"/>
      <c r="FC16" s="361"/>
      <c r="FD16" s="361"/>
      <c r="FE16" s="361"/>
      <c r="FF16" s="361"/>
      <c r="FG16" s="361"/>
      <c r="FH16" s="361"/>
      <c r="FI16" s="361"/>
      <c r="FJ16" s="361"/>
      <c r="FK16" s="361"/>
      <c r="FL16" s="361"/>
      <c r="FM16" s="361"/>
      <c r="FN16" s="361"/>
      <c r="FO16" s="361"/>
      <c r="FP16" s="361"/>
      <c r="FQ16" s="361"/>
      <c r="FR16" s="361"/>
      <c r="FS16" s="361"/>
      <c r="FT16" s="361"/>
      <c r="FU16" s="361"/>
      <c r="FV16" s="361"/>
      <c r="FW16" s="361"/>
      <c r="FX16" s="361"/>
      <c r="FY16" s="361"/>
      <c r="FZ16" s="361"/>
      <c r="GA16" s="361"/>
      <c r="GB16" s="361"/>
      <c r="GC16" s="361"/>
      <c r="GD16" s="361"/>
      <c r="GE16" s="361"/>
      <c r="GF16" s="361"/>
      <c r="GG16" s="361"/>
      <c r="GH16" s="361"/>
      <c r="GI16" s="361"/>
      <c r="GJ16" s="361"/>
      <c r="GK16" s="361"/>
      <c r="GL16" s="361"/>
      <c r="GM16" s="361"/>
      <c r="GN16" s="361"/>
      <c r="GO16" s="361"/>
      <c r="GP16" s="361"/>
      <c r="GQ16" s="361"/>
      <c r="GR16" s="361"/>
      <c r="GS16" s="361"/>
      <c r="GT16" s="361"/>
      <c r="GU16" s="361"/>
      <c r="GV16" s="361"/>
      <c r="GW16" s="361"/>
      <c r="GX16" s="361"/>
      <c r="GY16" s="361"/>
      <c r="GZ16" s="361"/>
      <c r="HA16" s="361"/>
      <c r="HB16" s="361"/>
      <c r="HC16" s="361"/>
      <c r="HD16" s="361"/>
      <c r="HE16" s="361"/>
      <c r="HF16" s="361"/>
      <c r="HG16" s="361"/>
      <c r="HH16" s="361"/>
      <c r="HI16" s="361"/>
      <c r="HJ16" s="361"/>
      <c r="HK16" s="361"/>
      <c r="HL16" s="361"/>
      <c r="HM16" s="361"/>
      <c r="HN16" s="361"/>
      <c r="HO16" s="361"/>
      <c r="HP16" s="361"/>
      <c r="HQ16" s="361"/>
      <c r="HR16" s="361"/>
      <c r="HS16" s="361"/>
      <c r="HT16" s="361"/>
      <c r="HU16" s="361"/>
      <c r="HV16" s="361"/>
      <c r="HW16" s="361"/>
      <c r="HX16" s="361"/>
      <c r="HY16" s="361"/>
      <c r="HZ16" s="361"/>
      <c r="IA16" s="361"/>
      <c r="IB16" s="361"/>
      <c r="IC16" s="361"/>
      <c r="ID16" s="361"/>
      <c r="IE16" s="361"/>
      <c r="IF16" s="361"/>
      <c r="IG16" s="361"/>
      <c r="IH16" s="361"/>
      <c r="II16" s="361"/>
      <c r="IJ16" s="361"/>
      <c r="IK16" s="361"/>
      <c r="IL16" s="361"/>
      <c r="IM16" s="361"/>
      <c r="IN16" s="361"/>
      <c r="IO16" s="361"/>
      <c r="IP16" s="384"/>
      <c r="IQ16" s="384"/>
      <c r="IR16" s="384"/>
      <c r="IS16" s="384"/>
      <c r="IT16" s="384"/>
      <c r="IU16" s="384"/>
      <c r="IV16" s="384"/>
      <c r="IW16" s="384"/>
      <c r="IX16" s="384"/>
      <c r="IY16" s="346" t="s">
        <v>70</v>
      </c>
      <c r="IZ16" s="346"/>
      <c r="JA16" s="346"/>
      <c r="JB16" s="346"/>
      <c r="JC16" s="346"/>
      <c r="JD16" s="346"/>
      <c r="JE16" s="384"/>
    </row>
    <row r="17" spans="1:265" s="179" customFormat="1" ht="19.95" customHeight="1">
      <c r="A17" s="444"/>
      <c r="B17" s="333" t="s">
        <v>143</v>
      </c>
      <c r="C17" s="328" t="s">
        <v>73</v>
      </c>
      <c r="D17" s="717" t="s">
        <v>148</v>
      </c>
      <c r="E17" s="445">
        <f>COUNTIFS(Table1351452010[[#All],[Sales]],"คุณนิยนต์ อยู่ทะเล",Table1351452010[[#All],[ค่าเชื่อมสัญญาณ/
ค่าติดตั้ง/
ค่าขายอุปกรณ์]],"&gt;1")</f>
        <v>1</v>
      </c>
      <c r="F17" s="446">
        <f>SUMIF(Table1351452010[[#All],[Sales]],"คุณนิยนต์ อยู่ทะเล",Table1351452010[[#All],[Total
ค่าเชื่มสัญญาณ/ค่าติดตั้ง/
ค่าขายอุปกรณ์
(2)]])</f>
        <v>3100</v>
      </c>
      <c r="G17" s="433">
        <v>0</v>
      </c>
      <c r="H17" s="435">
        <f t="shared" si="2"/>
        <v>3100</v>
      </c>
      <c r="I17" s="359"/>
      <c r="J17" s="359"/>
      <c r="K17" s="359"/>
      <c r="L17" s="359"/>
      <c r="M17" s="380"/>
      <c r="N17" s="361"/>
      <c r="O17" s="361"/>
      <c r="P17" s="361"/>
      <c r="Q17" s="361"/>
      <c r="R17" s="361"/>
      <c r="S17" s="361"/>
      <c r="T17" s="361"/>
      <c r="U17" s="361"/>
      <c r="V17" s="361"/>
      <c r="W17" s="361"/>
      <c r="X17" s="361"/>
      <c r="Y17" s="361"/>
      <c r="Z17" s="361"/>
      <c r="AA17" s="361"/>
      <c r="AB17" s="361"/>
      <c r="AC17" s="361"/>
      <c r="AD17" s="361"/>
      <c r="AE17" s="361"/>
      <c r="AF17" s="361"/>
      <c r="AG17" s="361"/>
      <c r="AH17" s="361"/>
      <c r="AI17" s="361"/>
      <c r="AJ17" s="361"/>
      <c r="AK17" s="361"/>
      <c r="AL17" s="361"/>
      <c r="AM17" s="361"/>
      <c r="AN17" s="361"/>
      <c r="AO17" s="361"/>
      <c r="AP17" s="361"/>
      <c r="AQ17" s="361"/>
      <c r="AR17" s="361"/>
      <c r="AS17" s="361"/>
      <c r="AT17" s="361"/>
      <c r="AU17" s="361"/>
      <c r="AV17" s="361"/>
      <c r="AW17" s="361"/>
      <c r="AX17" s="361"/>
      <c r="AY17" s="361"/>
      <c r="AZ17" s="361"/>
      <c r="BA17" s="361"/>
      <c r="BB17" s="361"/>
      <c r="BC17" s="361"/>
      <c r="BD17" s="361"/>
      <c r="BE17" s="361"/>
      <c r="BF17" s="361"/>
      <c r="BG17" s="361"/>
      <c r="BH17" s="361"/>
      <c r="BI17" s="361"/>
      <c r="BJ17" s="361"/>
      <c r="BK17" s="361"/>
      <c r="BL17" s="361"/>
      <c r="BM17" s="361"/>
      <c r="BN17" s="361"/>
      <c r="BO17" s="361"/>
      <c r="BP17" s="361"/>
      <c r="BQ17" s="361"/>
      <c r="BR17" s="361"/>
      <c r="BS17" s="361"/>
      <c r="BT17" s="361"/>
      <c r="BU17" s="361"/>
      <c r="BV17" s="361"/>
      <c r="BW17" s="361"/>
      <c r="BX17" s="361"/>
      <c r="BY17" s="361"/>
      <c r="BZ17" s="361"/>
      <c r="CA17" s="361"/>
      <c r="CB17" s="361"/>
      <c r="CC17" s="361"/>
      <c r="CD17" s="361"/>
      <c r="CE17" s="361"/>
      <c r="CF17" s="361"/>
      <c r="CG17" s="361"/>
      <c r="CH17" s="361"/>
      <c r="CI17" s="361"/>
      <c r="CJ17" s="361"/>
      <c r="CK17" s="361"/>
      <c r="CL17" s="361"/>
      <c r="CM17" s="361"/>
      <c r="CN17" s="361"/>
      <c r="CO17" s="361"/>
      <c r="CP17" s="361"/>
      <c r="CQ17" s="361"/>
      <c r="CR17" s="361"/>
      <c r="CS17" s="361"/>
      <c r="CT17" s="361"/>
      <c r="CU17" s="361"/>
      <c r="CV17" s="361"/>
      <c r="CW17" s="361"/>
      <c r="CX17" s="361"/>
      <c r="CY17" s="361"/>
      <c r="CZ17" s="361"/>
      <c r="DA17" s="361"/>
      <c r="DB17" s="361"/>
      <c r="DC17" s="361"/>
      <c r="DD17" s="361"/>
      <c r="DE17" s="361"/>
      <c r="DF17" s="361"/>
      <c r="DG17" s="361"/>
      <c r="DH17" s="361"/>
      <c r="DI17" s="361"/>
      <c r="DJ17" s="361"/>
      <c r="DK17" s="361"/>
      <c r="DL17" s="361"/>
      <c r="DM17" s="361"/>
      <c r="DN17" s="361"/>
      <c r="DO17" s="361"/>
      <c r="DP17" s="361"/>
      <c r="DQ17" s="361"/>
      <c r="DR17" s="361"/>
      <c r="DS17" s="361"/>
      <c r="DT17" s="361"/>
      <c r="DU17" s="361"/>
      <c r="DV17" s="361"/>
      <c r="DW17" s="361"/>
      <c r="DX17" s="361"/>
      <c r="DY17" s="361"/>
      <c r="DZ17" s="361"/>
      <c r="EA17" s="361"/>
      <c r="EB17" s="361"/>
      <c r="EC17" s="361"/>
      <c r="ED17" s="361"/>
      <c r="EE17" s="361"/>
      <c r="EF17" s="361"/>
      <c r="EG17" s="361"/>
      <c r="EH17" s="361"/>
      <c r="EI17" s="361"/>
      <c r="EJ17" s="361"/>
      <c r="EK17" s="361"/>
      <c r="EL17" s="361"/>
      <c r="EM17" s="361"/>
      <c r="EN17" s="361"/>
      <c r="EO17" s="361"/>
      <c r="EP17" s="361"/>
      <c r="EQ17" s="361"/>
      <c r="ER17" s="361"/>
      <c r="ES17" s="361"/>
      <c r="ET17" s="361"/>
      <c r="EU17" s="361"/>
      <c r="EV17" s="361"/>
      <c r="EW17" s="361"/>
      <c r="EX17" s="361"/>
      <c r="EY17" s="361"/>
      <c r="EZ17" s="361"/>
      <c r="FA17" s="361"/>
      <c r="FB17" s="361"/>
      <c r="FC17" s="361"/>
      <c r="FD17" s="361"/>
      <c r="FE17" s="361"/>
      <c r="FF17" s="361"/>
      <c r="FG17" s="361"/>
      <c r="FH17" s="361"/>
      <c r="FI17" s="361"/>
      <c r="FJ17" s="361"/>
      <c r="FK17" s="361"/>
      <c r="FL17" s="361"/>
      <c r="FM17" s="361"/>
      <c r="FN17" s="361"/>
      <c r="FO17" s="361"/>
      <c r="FP17" s="361"/>
      <c r="FQ17" s="361"/>
      <c r="FR17" s="361"/>
      <c r="FS17" s="361"/>
      <c r="FT17" s="361"/>
      <c r="FU17" s="361"/>
      <c r="FV17" s="361"/>
      <c r="FW17" s="361"/>
      <c r="FX17" s="361"/>
      <c r="FY17" s="361"/>
      <c r="FZ17" s="361"/>
      <c r="GA17" s="361"/>
      <c r="GB17" s="361"/>
      <c r="GC17" s="361"/>
      <c r="GD17" s="361"/>
      <c r="GE17" s="361"/>
      <c r="GF17" s="361"/>
      <c r="GG17" s="361"/>
      <c r="GH17" s="361"/>
      <c r="GI17" s="361"/>
      <c r="GJ17" s="361"/>
      <c r="GK17" s="361"/>
      <c r="GL17" s="361"/>
      <c r="GM17" s="361"/>
      <c r="GN17" s="361"/>
      <c r="GO17" s="361"/>
      <c r="GP17" s="361"/>
      <c r="GQ17" s="361"/>
      <c r="GR17" s="361"/>
      <c r="GS17" s="361"/>
      <c r="GT17" s="361"/>
      <c r="GU17" s="361"/>
      <c r="GV17" s="361"/>
      <c r="GW17" s="361"/>
      <c r="GX17" s="361"/>
      <c r="GY17" s="361"/>
      <c r="GZ17" s="361"/>
      <c r="HA17" s="361"/>
      <c r="HB17" s="361"/>
      <c r="HC17" s="361"/>
      <c r="HD17" s="361"/>
      <c r="HE17" s="361"/>
      <c r="HF17" s="361"/>
      <c r="HG17" s="361"/>
      <c r="HH17" s="361"/>
      <c r="HI17" s="361"/>
      <c r="HJ17" s="361"/>
      <c r="HK17" s="361"/>
      <c r="HL17" s="361"/>
      <c r="HM17" s="361"/>
      <c r="HN17" s="361"/>
      <c r="HO17" s="361"/>
      <c r="HP17" s="361"/>
      <c r="HQ17" s="361"/>
      <c r="HR17" s="361"/>
      <c r="HS17" s="361"/>
      <c r="HT17" s="361"/>
      <c r="HU17" s="361"/>
      <c r="HV17" s="361"/>
      <c r="HW17" s="361"/>
      <c r="HX17" s="361"/>
      <c r="HY17" s="361"/>
      <c r="HZ17" s="361"/>
      <c r="IA17" s="361"/>
      <c r="IB17" s="361"/>
      <c r="IC17" s="361"/>
      <c r="ID17" s="361"/>
      <c r="IE17" s="361"/>
      <c r="IF17" s="361"/>
      <c r="IG17" s="361"/>
      <c r="IH17" s="361"/>
      <c r="II17" s="361"/>
      <c r="IJ17" s="361"/>
      <c r="IK17" s="361"/>
      <c r="IL17" s="361"/>
      <c r="IM17" s="361"/>
      <c r="IN17" s="361"/>
      <c r="IO17" s="361"/>
      <c r="IP17" s="384"/>
      <c r="IQ17" s="384"/>
      <c r="IR17" s="384"/>
      <c r="IS17" s="384"/>
      <c r="IT17" s="384"/>
      <c r="IU17" s="384"/>
      <c r="IV17" s="384"/>
      <c r="IW17" s="384"/>
      <c r="IX17" s="384"/>
      <c r="IY17" s="346" t="s">
        <v>71</v>
      </c>
      <c r="IZ17" s="346"/>
      <c r="JA17" s="346"/>
      <c r="JB17" s="346"/>
      <c r="JC17" s="346"/>
      <c r="JD17" s="346"/>
      <c r="JE17" s="384"/>
    </row>
    <row r="18" spans="1:265" s="179" customFormat="1" ht="19.95" customHeight="1">
      <c r="A18" s="444"/>
      <c r="B18" s="333" t="s">
        <v>40</v>
      </c>
      <c r="C18" s="328" t="s">
        <v>74</v>
      </c>
      <c r="D18" s="178"/>
      <c r="E18" s="445">
        <f>COUNTIFS(Table1351452010[[#All],[Sales]],"คุณจินตนา อ้อยหวาน",Table1351452010[[#All],[ค่าเชื่อมสัญญาณ/
ค่าติดตั้ง/
ค่าขายอุปกรณ์]],"&gt;1")</f>
        <v>0</v>
      </c>
      <c r="F18" s="446">
        <f>SUMIF(Table1351452010[[#All],[Sales]],"คุณจินตนา อ้อยหวาน",Table1351452010[[#All],[Total
ค่าเชื่มสัญญาณ/ค่าติดตั้ง/
ค่าขายอุปกรณ์
(2)]])</f>
        <v>0</v>
      </c>
      <c r="G18" s="433">
        <v>0</v>
      </c>
      <c r="H18" s="435">
        <f t="shared" si="2"/>
        <v>0</v>
      </c>
      <c r="I18" s="359"/>
      <c r="J18" s="359"/>
      <c r="K18" s="359"/>
      <c r="L18" s="359"/>
      <c r="M18" s="678"/>
      <c r="N18" s="361"/>
      <c r="O18" s="361"/>
      <c r="P18" s="361"/>
      <c r="Q18" s="361"/>
      <c r="R18" s="361"/>
      <c r="S18" s="361"/>
      <c r="T18" s="361"/>
      <c r="U18" s="361"/>
      <c r="V18" s="361"/>
      <c r="W18" s="361"/>
      <c r="X18" s="361"/>
      <c r="Y18" s="361"/>
      <c r="Z18" s="361"/>
      <c r="AA18" s="361"/>
      <c r="AB18" s="361"/>
      <c r="AC18" s="361"/>
      <c r="AD18" s="361"/>
      <c r="AE18" s="361"/>
      <c r="AF18" s="361"/>
      <c r="AG18" s="361"/>
      <c r="AH18" s="361"/>
      <c r="AI18" s="361"/>
      <c r="AJ18" s="361"/>
      <c r="AK18" s="361"/>
      <c r="AL18" s="361"/>
      <c r="AM18" s="361"/>
      <c r="AN18" s="361"/>
      <c r="AO18" s="361"/>
      <c r="AP18" s="361"/>
      <c r="AQ18" s="361"/>
      <c r="AR18" s="361"/>
      <c r="AS18" s="361"/>
      <c r="AT18" s="361"/>
      <c r="AU18" s="361"/>
      <c r="AV18" s="361"/>
      <c r="AW18" s="361"/>
      <c r="AX18" s="361"/>
      <c r="AY18" s="361"/>
      <c r="AZ18" s="361"/>
      <c r="BA18" s="361"/>
      <c r="BB18" s="361"/>
      <c r="BC18" s="361"/>
      <c r="BD18" s="361"/>
      <c r="BE18" s="361"/>
      <c r="BF18" s="361"/>
      <c r="BG18" s="361"/>
      <c r="BH18" s="361"/>
      <c r="BI18" s="361"/>
      <c r="BJ18" s="361"/>
      <c r="BK18" s="361"/>
      <c r="BL18" s="361"/>
      <c r="BM18" s="361"/>
      <c r="BN18" s="361"/>
      <c r="BO18" s="361"/>
      <c r="BP18" s="361"/>
      <c r="BQ18" s="361"/>
      <c r="BR18" s="361"/>
      <c r="BS18" s="361"/>
      <c r="BT18" s="361"/>
      <c r="BU18" s="361"/>
      <c r="BV18" s="361"/>
      <c r="BW18" s="361"/>
      <c r="BX18" s="361"/>
      <c r="BY18" s="361"/>
      <c r="BZ18" s="361"/>
      <c r="CA18" s="361"/>
      <c r="CB18" s="361"/>
      <c r="CC18" s="361"/>
      <c r="CD18" s="361"/>
      <c r="CE18" s="361"/>
      <c r="CF18" s="361"/>
      <c r="CG18" s="361"/>
      <c r="CH18" s="361"/>
      <c r="CI18" s="361"/>
      <c r="CJ18" s="361"/>
      <c r="CK18" s="361"/>
      <c r="CL18" s="361"/>
      <c r="CM18" s="361"/>
      <c r="CN18" s="361"/>
      <c r="CO18" s="361"/>
      <c r="CP18" s="361"/>
      <c r="CQ18" s="361"/>
      <c r="CR18" s="361"/>
      <c r="CS18" s="361"/>
      <c r="CT18" s="361"/>
      <c r="CU18" s="361"/>
      <c r="CV18" s="361"/>
      <c r="CW18" s="361"/>
      <c r="CX18" s="361"/>
      <c r="CY18" s="361"/>
      <c r="CZ18" s="361"/>
      <c r="DA18" s="361"/>
      <c r="DB18" s="361"/>
      <c r="DC18" s="361"/>
      <c r="DD18" s="361"/>
      <c r="DE18" s="361"/>
      <c r="DF18" s="361"/>
      <c r="DG18" s="361"/>
      <c r="DH18" s="361"/>
      <c r="DI18" s="361"/>
      <c r="DJ18" s="361"/>
      <c r="DK18" s="361"/>
      <c r="DL18" s="361"/>
      <c r="DM18" s="361"/>
      <c r="DN18" s="361"/>
      <c r="DO18" s="361"/>
      <c r="DP18" s="361"/>
      <c r="DQ18" s="361"/>
      <c r="DR18" s="361"/>
      <c r="DS18" s="361"/>
      <c r="DT18" s="361"/>
      <c r="DU18" s="361"/>
      <c r="DV18" s="361"/>
      <c r="DW18" s="361"/>
      <c r="DX18" s="361"/>
      <c r="DY18" s="361"/>
      <c r="DZ18" s="361"/>
      <c r="EA18" s="361"/>
      <c r="EB18" s="361"/>
      <c r="EC18" s="361"/>
      <c r="ED18" s="361"/>
      <c r="EE18" s="361"/>
      <c r="EF18" s="361"/>
      <c r="EG18" s="361"/>
      <c r="EH18" s="361"/>
      <c r="EI18" s="361"/>
      <c r="EJ18" s="361"/>
      <c r="EK18" s="361"/>
      <c r="EL18" s="361"/>
      <c r="EM18" s="361"/>
      <c r="EN18" s="361"/>
      <c r="EO18" s="361"/>
      <c r="EP18" s="361"/>
      <c r="EQ18" s="361"/>
      <c r="ER18" s="361"/>
      <c r="ES18" s="361"/>
      <c r="ET18" s="361"/>
      <c r="EU18" s="361"/>
      <c r="EV18" s="361"/>
      <c r="EW18" s="361"/>
      <c r="EX18" s="361"/>
      <c r="EY18" s="361"/>
      <c r="EZ18" s="361"/>
      <c r="FA18" s="361"/>
      <c r="FB18" s="361"/>
      <c r="FC18" s="361"/>
      <c r="FD18" s="361"/>
      <c r="FE18" s="361"/>
      <c r="FF18" s="361"/>
      <c r="FG18" s="361"/>
      <c r="FH18" s="361"/>
      <c r="FI18" s="361"/>
      <c r="FJ18" s="361"/>
      <c r="FK18" s="361"/>
      <c r="FL18" s="361"/>
      <c r="FM18" s="361"/>
      <c r="FN18" s="361"/>
      <c r="FO18" s="361"/>
      <c r="FP18" s="361"/>
      <c r="FQ18" s="361"/>
      <c r="FR18" s="361"/>
      <c r="FS18" s="361"/>
      <c r="FT18" s="361"/>
      <c r="FU18" s="361"/>
      <c r="FV18" s="361"/>
      <c r="FW18" s="361"/>
      <c r="FX18" s="361"/>
      <c r="FY18" s="361"/>
      <c r="FZ18" s="361"/>
      <c r="GA18" s="361"/>
      <c r="GB18" s="361"/>
      <c r="GC18" s="361"/>
      <c r="GD18" s="361"/>
      <c r="GE18" s="361"/>
      <c r="GF18" s="361"/>
      <c r="GG18" s="361"/>
      <c r="GH18" s="361"/>
      <c r="GI18" s="361"/>
      <c r="GJ18" s="361"/>
      <c r="GK18" s="361"/>
      <c r="GL18" s="361"/>
      <c r="GM18" s="361"/>
      <c r="GN18" s="361"/>
      <c r="GO18" s="361"/>
      <c r="GP18" s="361"/>
      <c r="GQ18" s="361"/>
      <c r="GR18" s="361"/>
      <c r="GS18" s="361"/>
      <c r="GT18" s="361"/>
      <c r="GU18" s="361"/>
      <c r="GV18" s="361"/>
      <c r="GW18" s="361"/>
      <c r="GX18" s="361"/>
      <c r="GY18" s="361"/>
      <c r="GZ18" s="361"/>
      <c r="HA18" s="361"/>
      <c r="HB18" s="361"/>
      <c r="HC18" s="361"/>
      <c r="HD18" s="361"/>
      <c r="HE18" s="361"/>
      <c r="HF18" s="361"/>
      <c r="HG18" s="361"/>
      <c r="HH18" s="361"/>
      <c r="HI18" s="361"/>
      <c r="HJ18" s="361"/>
      <c r="HK18" s="361"/>
      <c r="HL18" s="361"/>
      <c r="HM18" s="361"/>
      <c r="HN18" s="361"/>
      <c r="HO18" s="361"/>
      <c r="HP18" s="361"/>
      <c r="HQ18" s="361"/>
      <c r="HR18" s="361"/>
      <c r="HS18" s="361"/>
      <c r="HT18" s="361"/>
      <c r="HU18" s="361"/>
      <c r="HV18" s="361"/>
      <c r="HW18" s="361"/>
      <c r="HX18" s="361"/>
      <c r="HY18" s="361"/>
      <c r="HZ18" s="361"/>
      <c r="IA18" s="361"/>
      <c r="IB18" s="361"/>
      <c r="IC18" s="361"/>
      <c r="ID18" s="361"/>
      <c r="IE18" s="361"/>
      <c r="IF18" s="361"/>
      <c r="IG18" s="361"/>
      <c r="IH18" s="361"/>
      <c r="II18" s="361"/>
      <c r="IJ18" s="361"/>
      <c r="IK18" s="361"/>
      <c r="IL18" s="361"/>
      <c r="IM18" s="361"/>
      <c r="IN18" s="361"/>
      <c r="IO18" s="361"/>
      <c r="IP18" s="384"/>
      <c r="IQ18" s="384"/>
      <c r="IR18" s="384"/>
      <c r="IS18" s="384"/>
      <c r="IT18" s="384"/>
      <c r="IU18" s="384"/>
      <c r="IV18" s="384"/>
      <c r="IW18" s="384"/>
      <c r="IX18" s="384"/>
      <c r="IY18" s="346" t="s">
        <v>73</v>
      </c>
      <c r="IZ18" s="346"/>
      <c r="JA18" s="346"/>
      <c r="JB18" s="346"/>
      <c r="JC18" s="346"/>
      <c r="JD18" s="346"/>
      <c r="JE18" s="384"/>
    </row>
    <row r="19" spans="1:265" s="179" customFormat="1" ht="19.95" customHeight="1">
      <c r="A19" s="444"/>
      <c r="B19" s="333"/>
      <c r="C19" s="328" t="s">
        <v>75</v>
      </c>
      <c r="D19" s="178"/>
      <c r="E19" s="445">
        <f>COUNTIFS(Table1351452010[[#All],[Sales]],"คุณพัชรพรรณ พึ่งพา",Table1351452010[[#All],[ค่าเชื่อมสัญญาณ/
ค่าติดตั้ง/
ค่าขายอุปกรณ์]],"&gt;1")</f>
        <v>2</v>
      </c>
      <c r="F19" s="446">
        <f>SUMIF(Table1351452010[[#All],[Sales]],"คุณพัชรพรรณ พึ่งพา",Table1351452010[[#All],[Total
ค่าเชื่มสัญญาณ/ค่าติดตั้ง/
ค่าขายอุปกรณ์
(2)]])</f>
        <v>4122.5</v>
      </c>
      <c r="G19" s="433">
        <v>0</v>
      </c>
      <c r="H19" s="435">
        <f t="shared" si="2"/>
        <v>4122.5</v>
      </c>
      <c r="I19" s="359"/>
      <c r="J19" s="359"/>
      <c r="K19" s="359"/>
      <c r="L19" s="359"/>
      <c r="M19" s="380"/>
      <c r="N19" s="361"/>
      <c r="O19" s="361"/>
      <c r="P19" s="361"/>
      <c r="Q19" s="361"/>
      <c r="R19" s="361"/>
      <c r="S19" s="361"/>
      <c r="T19" s="361"/>
      <c r="U19" s="361"/>
      <c r="V19" s="361"/>
      <c r="W19" s="361"/>
      <c r="X19" s="361"/>
      <c r="Y19" s="361"/>
      <c r="Z19" s="361"/>
      <c r="AA19" s="361"/>
      <c r="AB19" s="361"/>
      <c r="AC19" s="361"/>
      <c r="AD19" s="361"/>
      <c r="AE19" s="361"/>
      <c r="AF19" s="361"/>
      <c r="AG19" s="361"/>
      <c r="AH19" s="361"/>
      <c r="AI19" s="361"/>
      <c r="AJ19" s="361"/>
      <c r="AK19" s="361"/>
      <c r="AL19" s="361"/>
      <c r="AM19" s="361"/>
      <c r="AN19" s="361"/>
      <c r="AO19" s="361"/>
      <c r="AP19" s="361"/>
      <c r="AQ19" s="361"/>
      <c r="AR19" s="361"/>
      <c r="AS19" s="361"/>
      <c r="AT19" s="361"/>
      <c r="AU19" s="361"/>
      <c r="AV19" s="361"/>
      <c r="AW19" s="361"/>
      <c r="AX19" s="361"/>
      <c r="AY19" s="361"/>
      <c r="AZ19" s="361"/>
      <c r="BA19" s="361"/>
      <c r="BB19" s="361"/>
      <c r="BC19" s="361"/>
      <c r="BD19" s="361"/>
      <c r="BE19" s="361"/>
      <c r="BF19" s="361"/>
      <c r="BG19" s="361"/>
      <c r="BH19" s="361"/>
      <c r="BI19" s="361"/>
      <c r="BJ19" s="361"/>
      <c r="BK19" s="361"/>
      <c r="BL19" s="361"/>
      <c r="BM19" s="361"/>
      <c r="BN19" s="361"/>
      <c r="BO19" s="361"/>
      <c r="BP19" s="361"/>
      <c r="BQ19" s="361"/>
      <c r="BR19" s="361"/>
      <c r="BS19" s="361"/>
      <c r="BT19" s="361"/>
      <c r="BU19" s="361"/>
      <c r="BV19" s="361"/>
      <c r="BW19" s="361"/>
      <c r="BX19" s="361"/>
      <c r="BY19" s="361"/>
      <c r="BZ19" s="361"/>
      <c r="CA19" s="361"/>
      <c r="CB19" s="361"/>
      <c r="CC19" s="361"/>
      <c r="CD19" s="361"/>
      <c r="CE19" s="361"/>
      <c r="CF19" s="361"/>
      <c r="CG19" s="361"/>
      <c r="CH19" s="361"/>
      <c r="CI19" s="361"/>
      <c r="CJ19" s="361"/>
      <c r="CK19" s="361"/>
      <c r="CL19" s="361"/>
      <c r="CM19" s="361"/>
      <c r="CN19" s="361"/>
      <c r="CO19" s="361"/>
      <c r="CP19" s="361"/>
      <c r="CQ19" s="361"/>
      <c r="CR19" s="361"/>
      <c r="CS19" s="361"/>
      <c r="CT19" s="361"/>
      <c r="CU19" s="361"/>
      <c r="CV19" s="361"/>
      <c r="CW19" s="361"/>
      <c r="CX19" s="361"/>
      <c r="CY19" s="361"/>
      <c r="CZ19" s="361"/>
      <c r="DA19" s="361"/>
      <c r="DB19" s="361"/>
      <c r="DC19" s="361"/>
      <c r="DD19" s="361"/>
      <c r="DE19" s="361"/>
      <c r="DF19" s="361"/>
      <c r="DG19" s="361"/>
      <c r="DH19" s="361"/>
      <c r="DI19" s="361"/>
      <c r="DJ19" s="361"/>
      <c r="DK19" s="361"/>
      <c r="DL19" s="361"/>
      <c r="DM19" s="361"/>
      <c r="DN19" s="361"/>
      <c r="DO19" s="361"/>
      <c r="DP19" s="361"/>
      <c r="DQ19" s="361"/>
      <c r="DR19" s="361"/>
      <c r="DS19" s="361"/>
      <c r="DT19" s="361"/>
      <c r="DU19" s="361"/>
      <c r="DV19" s="361"/>
      <c r="DW19" s="361"/>
      <c r="DX19" s="361"/>
      <c r="DY19" s="361"/>
      <c r="DZ19" s="361"/>
      <c r="EA19" s="361"/>
      <c r="EB19" s="361"/>
      <c r="EC19" s="361"/>
      <c r="ED19" s="361"/>
      <c r="EE19" s="361"/>
      <c r="EF19" s="361"/>
      <c r="EG19" s="361"/>
      <c r="EH19" s="361"/>
      <c r="EI19" s="361"/>
      <c r="EJ19" s="361"/>
      <c r="EK19" s="361"/>
      <c r="EL19" s="361"/>
      <c r="EM19" s="361"/>
      <c r="EN19" s="361"/>
      <c r="EO19" s="361"/>
      <c r="EP19" s="361"/>
      <c r="EQ19" s="361"/>
      <c r="ER19" s="361"/>
      <c r="ES19" s="361"/>
      <c r="ET19" s="361"/>
      <c r="EU19" s="361"/>
      <c r="EV19" s="361"/>
      <c r="EW19" s="361"/>
      <c r="EX19" s="361"/>
      <c r="EY19" s="361"/>
      <c r="EZ19" s="361"/>
      <c r="FA19" s="361"/>
      <c r="FB19" s="361"/>
      <c r="FC19" s="361"/>
      <c r="FD19" s="361"/>
      <c r="FE19" s="361"/>
      <c r="FF19" s="361"/>
      <c r="FG19" s="361"/>
      <c r="FH19" s="361"/>
      <c r="FI19" s="361"/>
      <c r="FJ19" s="361"/>
      <c r="FK19" s="361"/>
      <c r="FL19" s="361"/>
      <c r="FM19" s="361"/>
      <c r="FN19" s="361"/>
      <c r="FO19" s="361"/>
      <c r="FP19" s="361"/>
      <c r="FQ19" s="361"/>
      <c r="FR19" s="361"/>
      <c r="FS19" s="361"/>
      <c r="FT19" s="361"/>
      <c r="FU19" s="361"/>
      <c r="FV19" s="361"/>
      <c r="FW19" s="361"/>
      <c r="FX19" s="361"/>
      <c r="FY19" s="361"/>
      <c r="FZ19" s="361"/>
      <c r="GA19" s="361"/>
      <c r="GB19" s="361"/>
      <c r="GC19" s="361"/>
      <c r="GD19" s="361"/>
      <c r="GE19" s="361"/>
      <c r="GF19" s="361"/>
      <c r="GG19" s="361"/>
      <c r="GH19" s="361"/>
      <c r="GI19" s="361"/>
      <c r="GJ19" s="361"/>
      <c r="GK19" s="361"/>
      <c r="GL19" s="361"/>
      <c r="GM19" s="361"/>
      <c r="GN19" s="361"/>
      <c r="GO19" s="361"/>
      <c r="GP19" s="361"/>
      <c r="GQ19" s="361"/>
      <c r="GR19" s="361"/>
      <c r="GS19" s="361"/>
      <c r="GT19" s="361"/>
      <c r="GU19" s="361"/>
      <c r="GV19" s="361"/>
      <c r="GW19" s="361"/>
      <c r="GX19" s="361"/>
      <c r="GY19" s="361"/>
      <c r="GZ19" s="361"/>
      <c r="HA19" s="361"/>
      <c r="HB19" s="361"/>
      <c r="HC19" s="361"/>
      <c r="HD19" s="361"/>
      <c r="HE19" s="361"/>
      <c r="HF19" s="361"/>
      <c r="HG19" s="361"/>
      <c r="HH19" s="361"/>
      <c r="HI19" s="361"/>
      <c r="HJ19" s="361"/>
      <c r="HK19" s="361"/>
      <c r="HL19" s="361"/>
      <c r="HM19" s="361"/>
      <c r="HN19" s="361"/>
      <c r="HO19" s="361"/>
      <c r="HP19" s="361"/>
      <c r="HQ19" s="361"/>
      <c r="HR19" s="361"/>
      <c r="HS19" s="361"/>
      <c r="HT19" s="361"/>
      <c r="HU19" s="361"/>
      <c r="HV19" s="361"/>
      <c r="HW19" s="361"/>
      <c r="HX19" s="361"/>
      <c r="HY19" s="361"/>
      <c r="HZ19" s="361"/>
      <c r="IA19" s="361"/>
      <c r="IB19" s="361"/>
      <c r="IC19" s="361"/>
      <c r="ID19" s="361"/>
      <c r="IE19" s="361"/>
      <c r="IF19" s="361"/>
      <c r="IG19" s="361"/>
      <c r="IH19" s="361"/>
      <c r="II19" s="361"/>
      <c r="IJ19" s="361"/>
      <c r="IK19" s="361"/>
      <c r="IL19" s="361"/>
      <c r="IM19" s="361"/>
      <c r="IN19" s="361"/>
      <c r="IO19" s="361"/>
      <c r="IP19" s="384"/>
      <c r="IQ19" s="384"/>
      <c r="IR19" s="384"/>
      <c r="IS19" s="384"/>
      <c r="IT19" s="384"/>
      <c r="IU19" s="384"/>
      <c r="IV19" s="384"/>
      <c r="IW19" s="384"/>
      <c r="IX19" s="384"/>
      <c r="IY19" s="346" t="s">
        <v>74</v>
      </c>
      <c r="IZ19" s="346"/>
      <c r="JA19" s="346"/>
      <c r="JB19" s="346"/>
      <c r="JC19" s="346"/>
      <c r="JD19" s="346"/>
      <c r="JE19" s="384"/>
    </row>
    <row r="20" spans="1:265" s="179" customFormat="1" ht="19.95" customHeight="1">
      <c r="A20" s="444"/>
      <c r="B20" s="333"/>
      <c r="C20" s="328" t="s">
        <v>152</v>
      </c>
      <c r="D20" s="178"/>
      <c r="E20" s="445">
        <f>COUNTIFS(Table1351452010[[#All],[Sales]],"คุณนรินทร์ ปิงมูล",Table1351452010[[#All],[ค่าเชื่อมสัญญาณ/
ค่าติดตั้ง/
ค่าขายอุปกรณ์]],"&gt;1")</f>
        <v>0</v>
      </c>
      <c r="F20" s="446">
        <f>SUMIF(Table1351452010[[#All],[Sales]],"คุณนรินทร์ ปิงมูล",Table1351452010[[#All],[Total
ค่าเชื่มสัญญาณ/ค่าติดตั้ง/
ค่าขายอุปกรณ์
(2)]])</f>
        <v>0</v>
      </c>
      <c r="G20" s="433">
        <v>0</v>
      </c>
      <c r="H20" s="435">
        <f t="shared" si="2"/>
        <v>0</v>
      </c>
      <c r="I20" s="359"/>
      <c r="J20" s="359"/>
      <c r="K20" s="359"/>
      <c r="L20" s="359"/>
      <c r="M20" s="380"/>
      <c r="N20" s="361"/>
      <c r="O20" s="361"/>
      <c r="P20" s="361"/>
      <c r="Q20" s="361"/>
      <c r="R20" s="361"/>
      <c r="S20" s="361"/>
      <c r="T20" s="361"/>
      <c r="U20" s="361"/>
      <c r="V20" s="361"/>
      <c r="W20" s="361"/>
      <c r="X20" s="361"/>
      <c r="Y20" s="361"/>
      <c r="Z20" s="361"/>
      <c r="AA20" s="361"/>
      <c r="AB20" s="361"/>
      <c r="AC20" s="361"/>
      <c r="AD20" s="361"/>
      <c r="AE20" s="361"/>
      <c r="AF20" s="361"/>
      <c r="AG20" s="361"/>
      <c r="AH20" s="361"/>
      <c r="AI20" s="361"/>
      <c r="AJ20" s="361"/>
      <c r="AK20" s="361"/>
      <c r="AL20" s="361"/>
      <c r="AM20" s="361"/>
      <c r="AN20" s="361"/>
      <c r="AO20" s="361"/>
      <c r="AP20" s="361"/>
      <c r="AQ20" s="361"/>
      <c r="AR20" s="361"/>
      <c r="AS20" s="361"/>
      <c r="AT20" s="361"/>
      <c r="AU20" s="361"/>
      <c r="AV20" s="361"/>
      <c r="AW20" s="361"/>
      <c r="AX20" s="361"/>
      <c r="AY20" s="361"/>
      <c r="AZ20" s="361"/>
      <c r="BA20" s="361"/>
      <c r="BB20" s="361"/>
      <c r="BC20" s="361"/>
      <c r="BD20" s="361"/>
      <c r="BE20" s="361"/>
      <c r="BF20" s="361"/>
      <c r="BG20" s="361"/>
      <c r="BH20" s="361"/>
      <c r="BI20" s="361"/>
      <c r="BJ20" s="361"/>
      <c r="BK20" s="361"/>
      <c r="BL20" s="361"/>
      <c r="BM20" s="361"/>
      <c r="BN20" s="361"/>
      <c r="BO20" s="361"/>
      <c r="BP20" s="361"/>
      <c r="BQ20" s="361"/>
      <c r="BR20" s="361"/>
      <c r="BS20" s="361"/>
      <c r="BT20" s="361"/>
      <c r="BU20" s="361"/>
      <c r="BV20" s="361"/>
      <c r="BW20" s="361"/>
      <c r="BX20" s="361"/>
      <c r="BY20" s="361"/>
      <c r="BZ20" s="361"/>
      <c r="CA20" s="361"/>
      <c r="CB20" s="361"/>
      <c r="CC20" s="361"/>
      <c r="CD20" s="361"/>
      <c r="CE20" s="361"/>
      <c r="CF20" s="361"/>
      <c r="CG20" s="361"/>
      <c r="CH20" s="361"/>
      <c r="CI20" s="361"/>
      <c r="CJ20" s="361"/>
      <c r="CK20" s="361"/>
      <c r="CL20" s="361"/>
      <c r="CM20" s="361"/>
      <c r="CN20" s="361"/>
      <c r="CO20" s="361"/>
      <c r="CP20" s="361"/>
      <c r="CQ20" s="361"/>
      <c r="CR20" s="361"/>
      <c r="CS20" s="361"/>
      <c r="CT20" s="361"/>
      <c r="CU20" s="361"/>
      <c r="CV20" s="361"/>
      <c r="CW20" s="361"/>
      <c r="CX20" s="361"/>
      <c r="CY20" s="361"/>
      <c r="CZ20" s="361"/>
      <c r="DA20" s="361"/>
      <c r="DB20" s="361"/>
      <c r="DC20" s="361"/>
      <c r="DD20" s="361"/>
      <c r="DE20" s="361"/>
      <c r="DF20" s="361"/>
      <c r="DG20" s="361"/>
      <c r="DH20" s="361"/>
      <c r="DI20" s="361"/>
      <c r="DJ20" s="361"/>
      <c r="DK20" s="361"/>
      <c r="DL20" s="361"/>
      <c r="DM20" s="361"/>
      <c r="DN20" s="361"/>
      <c r="DO20" s="361"/>
      <c r="DP20" s="361"/>
      <c r="DQ20" s="361"/>
      <c r="DR20" s="361"/>
      <c r="DS20" s="361"/>
      <c r="DT20" s="361"/>
      <c r="DU20" s="361"/>
      <c r="DV20" s="361"/>
      <c r="DW20" s="361"/>
      <c r="DX20" s="361"/>
      <c r="DY20" s="361"/>
      <c r="DZ20" s="361"/>
      <c r="EA20" s="361"/>
      <c r="EB20" s="361"/>
      <c r="EC20" s="361"/>
      <c r="ED20" s="361"/>
      <c r="EE20" s="361"/>
      <c r="EF20" s="361"/>
      <c r="EG20" s="361"/>
      <c r="EH20" s="361"/>
      <c r="EI20" s="361"/>
      <c r="EJ20" s="361"/>
      <c r="EK20" s="361"/>
      <c r="EL20" s="361"/>
      <c r="EM20" s="361"/>
      <c r="EN20" s="361"/>
      <c r="EO20" s="361"/>
      <c r="EP20" s="361"/>
      <c r="EQ20" s="361"/>
      <c r="ER20" s="361"/>
      <c r="ES20" s="361"/>
      <c r="ET20" s="361"/>
      <c r="EU20" s="361"/>
      <c r="EV20" s="361"/>
      <c r="EW20" s="361"/>
      <c r="EX20" s="361"/>
      <c r="EY20" s="361"/>
      <c r="EZ20" s="361"/>
      <c r="FA20" s="361"/>
      <c r="FB20" s="361"/>
      <c r="FC20" s="361"/>
      <c r="FD20" s="361"/>
      <c r="FE20" s="361"/>
      <c r="FF20" s="361"/>
      <c r="FG20" s="361"/>
      <c r="FH20" s="361"/>
      <c r="FI20" s="361"/>
      <c r="FJ20" s="361"/>
      <c r="FK20" s="361"/>
      <c r="FL20" s="361"/>
      <c r="FM20" s="361"/>
      <c r="FN20" s="361"/>
      <c r="FO20" s="361"/>
      <c r="FP20" s="361"/>
      <c r="FQ20" s="361"/>
      <c r="FR20" s="361"/>
      <c r="FS20" s="361"/>
      <c r="FT20" s="361"/>
      <c r="FU20" s="361"/>
      <c r="FV20" s="361"/>
      <c r="FW20" s="361"/>
      <c r="FX20" s="361"/>
      <c r="FY20" s="361"/>
      <c r="FZ20" s="361"/>
      <c r="GA20" s="361"/>
      <c r="GB20" s="361"/>
      <c r="GC20" s="361"/>
      <c r="GD20" s="361"/>
      <c r="GE20" s="361"/>
      <c r="GF20" s="361"/>
      <c r="GG20" s="361"/>
      <c r="GH20" s="361"/>
      <c r="GI20" s="361"/>
      <c r="GJ20" s="361"/>
      <c r="GK20" s="361"/>
      <c r="GL20" s="361"/>
      <c r="GM20" s="361"/>
      <c r="GN20" s="361"/>
      <c r="GO20" s="361"/>
      <c r="GP20" s="361"/>
      <c r="GQ20" s="361"/>
      <c r="GR20" s="361"/>
      <c r="GS20" s="361"/>
      <c r="GT20" s="361"/>
      <c r="GU20" s="361"/>
      <c r="GV20" s="361"/>
      <c r="GW20" s="361"/>
      <c r="GX20" s="361"/>
      <c r="GY20" s="361"/>
      <c r="GZ20" s="361"/>
      <c r="HA20" s="361"/>
      <c r="HB20" s="361"/>
      <c r="HC20" s="361"/>
      <c r="HD20" s="361"/>
      <c r="HE20" s="361"/>
      <c r="HF20" s="361"/>
      <c r="HG20" s="361"/>
      <c r="HH20" s="361"/>
      <c r="HI20" s="361"/>
      <c r="HJ20" s="361"/>
      <c r="HK20" s="361"/>
      <c r="HL20" s="361"/>
      <c r="HM20" s="361"/>
      <c r="HN20" s="361"/>
      <c r="HO20" s="361"/>
      <c r="HP20" s="361"/>
      <c r="HQ20" s="361"/>
      <c r="HR20" s="361"/>
      <c r="HS20" s="361"/>
      <c r="HT20" s="361"/>
      <c r="HU20" s="361"/>
      <c r="HV20" s="361"/>
      <c r="HW20" s="361"/>
      <c r="HX20" s="361"/>
      <c r="HY20" s="361"/>
      <c r="HZ20" s="361"/>
      <c r="IA20" s="361"/>
      <c r="IB20" s="361"/>
      <c r="IC20" s="361"/>
      <c r="ID20" s="361"/>
      <c r="IE20" s="361"/>
      <c r="IF20" s="361"/>
      <c r="IG20" s="361"/>
      <c r="IH20" s="361"/>
      <c r="II20" s="361"/>
      <c r="IJ20" s="361"/>
      <c r="IK20" s="361"/>
      <c r="IL20" s="361"/>
      <c r="IM20" s="361"/>
      <c r="IN20" s="361"/>
      <c r="IO20" s="361"/>
      <c r="IP20" s="384"/>
      <c r="IQ20" s="384"/>
      <c r="IR20" s="384"/>
      <c r="IS20" s="384"/>
      <c r="IT20" s="384"/>
      <c r="IU20" s="384"/>
      <c r="IV20" s="384"/>
      <c r="IW20" s="384"/>
      <c r="IX20" s="384"/>
      <c r="IY20" s="346" t="s">
        <v>75</v>
      </c>
      <c r="IZ20" s="346"/>
      <c r="JA20" s="346"/>
      <c r="JB20" s="346"/>
      <c r="JC20" s="346"/>
      <c r="JD20" s="346"/>
      <c r="JE20" s="384"/>
    </row>
    <row r="21" spans="1:265" s="179" customFormat="1" ht="19.95" customHeight="1">
      <c r="A21" s="444"/>
      <c r="B21" s="333"/>
      <c r="C21" s="328" t="s">
        <v>130</v>
      </c>
      <c r="D21" s="178"/>
      <c r="E21" s="445">
        <f>COUNTIFS(Table1351452010[[#All],[Sales]],"คุณชนัฐฎา สนคะมี",Table1351452010[[#All],[ค่าเชื่อมสัญญาณ/
ค่าติดตั้ง/
ค่าขายอุปกรณ์]],"&gt;1")</f>
        <v>0</v>
      </c>
      <c r="F21" s="446">
        <f>SUMIF(Table1351452010[[#All],[Sales]],"คุณชนัฐฎา สนคะมี",Table1351452010[[#All],[Total
ค่าเชื่มสัญญาณ/ค่าติดตั้ง/
ค่าขายอุปกรณ์
(2)]])</f>
        <v>0</v>
      </c>
      <c r="G21" s="433">
        <v>0</v>
      </c>
      <c r="H21" s="435">
        <f t="shared" si="2"/>
        <v>0</v>
      </c>
      <c r="I21" s="359"/>
      <c r="J21" s="359"/>
      <c r="K21" s="359"/>
      <c r="L21" s="359"/>
      <c r="M21" s="380"/>
      <c r="N21" s="361"/>
      <c r="O21" s="361"/>
      <c r="P21" s="361"/>
      <c r="Q21" s="361"/>
      <c r="R21" s="361"/>
      <c r="S21" s="361"/>
      <c r="T21" s="361"/>
      <c r="U21" s="361"/>
      <c r="V21" s="361"/>
      <c r="W21" s="361"/>
      <c r="X21" s="361"/>
      <c r="Y21" s="361"/>
      <c r="Z21" s="361"/>
      <c r="AA21" s="361"/>
      <c r="AB21" s="361"/>
      <c r="AC21" s="361"/>
      <c r="AD21" s="361"/>
      <c r="AE21" s="361"/>
      <c r="AF21" s="361"/>
      <c r="AG21" s="361"/>
      <c r="AH21" s="361"/>
      <c r="AI21" s="361"/>
      <c r="AJ21" s="361"/>
      <c r="AK21" s="361"/>
      <c r="AL21" s="361"/>
      <c r="AM21" s="361"/>
      <c r="AN21" s="361"/>
      <c r="AO21" s="361"/>
      <c r="AP21" s="361"/>
      <c r="AQ21" s="361"/>
      <c r="AR21" s="361"/>
      <c r="AS21" s="361"/>
      <c r="AT21" s="361"/>
      <c r="AU21" s="361"/>
      <c r="AV21" s="361"/>
      <c r="AW21" s="361"/>
      <c r="AX21" s="361"/>
      <c r="AY21" s="361"/>
      <c r="AZ21" s="361"/>
      <c r="BA21" s="361"/>
      <c r="BB21" s="361"/>
      <c r="BC21" s="361"/>
      <c r="BD21" s="361"/>
      <c r="BE21" s="361"/>
      <c r="BF21" s="361"/>
      <c r="BG21" s="361"/>
      <c r="BH21" s="361"/>
      <c r="BI21" s="361"/>
      <c r="BJ21" s="361"/>
      <c r="BK21" s="361"/>
      <c r="BL21" s="361"/>
      <c r="BM21" s="361"/>
      <c r="BN21" s="361"/>
      <c r="BO21" s="361"/>
      <c r="BP21" s="361"/>
      <c r="BQ21" s="361"/>
      <c r="BR21" s="361"/>
      <c r="BS21" s="361"/>
      <c r="BT21" s="361"/>
      <c r="BU21" s="361"/>
      <c r="BV21" s="361"/>
      <c r="BW21" s="361"/>
      <c r="BX21" s="361"/>
      <c r="BY21" s="361"/>
      <c r="BZ21" s="361"/>
      <c r="CA21" s="361"/>
      <c r="CB21" s="361"/>
      <c r="CC21" s="361"/>
      <c r="CD21" s="361"/>
      <c r="CE21" s="361"/>
      <c r="CF21" s="361"/>
      <c r="CG21" s="361"/>
      <c r="CH21" s="361"/>
      <c r="CI21" s="361"/>
      <c r="CJ21" s="361"/>
      <c r="CK21" s="361"/>
      <c r="CL21" s="361"/>
      <c r="CM21" s="361"/>
      <c r="CN21" s="361"/>
      <c r="CO21" s="361"/>
      <c r="CP21" s="361"/>
      <c r="CQ21" s="361"/>
      <c r="CR21" s="361"/>
      <c r="CS21" s="361"/>
      <c r="CT21" s="361"/>
      <c r="CU21" s="361"/>
      <c r="CV21" s="361"/>
      <c r="CW21" s="361"/>
      <c r="CX21" s="361"/>
      <c r="CY21" s="361"/>
      <c r="CZ21" s="361"/>
      <c r="DA21" s="361"/>
      <c r="DB21" s="361"/>
      <c r="DC21" s="361"/>
      <c r="DD21" s="361"/>
      <c r="DE21" s="361"/>
      <c r="DF21" s="361"/>
      <c r="DG21" s="361"/>
      <c r="DH21" s="361"/>
      <c r="DI21" s="361"/>
      <c r="DJ21" s="361"/>
      <c r="DK21" s="361"/>
      <c r="DL21" s="361"/>
      <c r="DM21" s="361"/>
      <c r="DN21" s="361"/>
      <c r="DO21" s="361"/>
      <c r="DP21" s="361"/>
      <c r="DQ21" s="361"/>
      <c r="DR21" s="361"/>
      <c r="DS21" s="361"/>
      <c r="DT21" s="361"/>
      <c r="DU21" s="361"/>
      <c r="DV21" s="361"/>
      <c r="DW21" s="361"/>
      <c r="DX21" s="361"/>
      <c r="DY21" s="361"/>
      <c r="DZ21" s="361"/>
      <c r="EA21" s="361"/>
      <c r="EB21" s="361"/>
      <c r="EC21" s="361"/>
      <c r="ED21" s="361"/>
      <c r="EE21" s="361"/>
      <c r="EF21" s="361"/>
      <c r="EG21" s="361"/>
      <c r="EH21" s="361"/>
      <c r="EI21" s="361"/>
      <c r="EJ21" s="361"/>
      <c r="EK21" s="361"/>
      <c r="EL21" s="361"/>
      <c r="EM21" s="361"/>
      <c r="EN21" s="361"/>
      <c r="EO21" s="361"/>
      <c r="EP21" s="361"/>
      <c r="EQ21" s="361"/>
      <c r="ER21" s="361"/>
      <c r="ES21" s="361"/>
      <c r="ET21" s="361"/>
      <c r="EU21" s="361"/>
      <c r="EV21" s="361"/>
      <c r="EW21" s="361"/>
      <c r="EX21" s="361"/>
      <c r="EY21" s="361"/>
      <c r="EZ21" s="361"/>
      <c r="FA21" s="361"/>
      <c r="FB21" s="361"/>
      <c r="FC21" s="361"/>
      <c r="FD21" s="361"/>
      <c r="FE21" s="361"/>
      <c r="FF21" s="361"/>
      <c r="FG21" s="361"/>
      <c r="FH21" s="361"/>
      <c r="FI21" s="361"/>
      <c r="FJ21" s="361"/>
      <c r="FK21" s="361"/>
      <c r="FL21" s="361"/>
      <c r="FM21" s="361"/>
      <c r="FN21" s="361"/>
      <c r="FO21" s="361"/>
      <c r="FP21" s="361"/>
      <c r="FQ21" s="361"/>
      <c r="FR21" s="361"/>
      <c r="FS21" s="361"/>
      <c r="FT21" s="361"/>
      <c r="FU21" s="361"/>
      <c r="FV21" s="361"/>
      <c r="FW21" s="361"/>
      <c r="FX21" s="361"/>
      <c r="FY21" s="361"/>
      <c r="FZ21" s="361"/>
      <c r="GA21" s="361"/>
      <c r="GB21" s="361"/>
      <c r="GC21" s="361"/>
      <c r="GD21" s="361"/>
      <c r="GE21" s="361"/>
      <c r="GF21" s="361"/>
      <c r="GG21" s="361"/>
      <c r="GH21" s="361"/>
      <c r="GI21" s="361"/>
      <c r="GJ21" s="361"/>
      <c r="GK21" s="361"/>
      <c r="GL21" s="361"/>
      <c r="GM21" s="361"/>
      <c r="GN21" s="361"/>
      <c r="GO21" s="361"/>
      <c r="GP21" s="361"/>
      <c r="GQ21" s="361"/>
      <c r="GR21" s="361"/>
      <c r="GS21" s="361"/>
      <c r="GT21" s="361"/>
      <c r="GU21" s="361"/>
      <c r="GV21" s="361"/>
      <c r="GW21" s="361"/>
      <c r="GX21" s="361"/>
      <c r="GY21" s="361"/>
      <c r="GZ21" s="361"/>
      <c r="HA21" s="361"/>
      <c r="HB21" s="361"/>
      <c r="HC21" s="361"/>
      <c r="HD21" s="361"/>
      <c r="HE21" s="361"/>
      <c r="HF21" s="361"/>
      <c r="HG21" s="361"/>
      <c r="HH21" s="361"/>
      <c r="HI21" s="361"/>
      <c r="HJ21" s="361"/>
      <c r="HK21" s="361"/>
      <c r="HL21" s="361"/>
      <c r="HM21" s="361"/>
      <c r="HN21" s="361"/>
      <c r="HO21" s="361"/>
      <c r="HP21" s="361"/>
      <c r="HQ21" s="361"/>
      <c r="HR21" s="361"/>
      <c r="HS21" s="361"/>
      <c r="HT21" s="361"/>
      <c r="HU21" s="361"/>
      <c r="HV21" s="361"/>
      <c r="HW21" s="361"/>
      <c r="HX21" s="361"/>
      <c r="HY21" s="361"/>
      <c r="HZ21" s="361"/>
      <c r="IA21" s="361"/>
      <c r="IB21" s="361"/>
      <c r="IC21" s="361"/>
      <c r="ID21" s="361"/>
      <c r="IE21" s="361"/>
      <c r="IF21" s="361"/>
      <c r="IG21" s="361"/>
      <c r="IH21" s="361"/>
      <c r="II21" s="361"/>
      <c r="IJ21" s="361"/>
      <c r="IK21" s="361"/>
      <c r="IL21" s="361"/>
      <c r="IM21" s="361"/>
      <c r="IN21" s="361"/>
      <c r="IO21" s="361"/>
      <c r="IP21" s="384"/>
      <c r="IQ21" s="384"/>
      <c r="IR21" s="384"/>
      <c r="IS21" s="384"/>
      <c r="IT21" s="384"/>
      <c r="IU21" s="384"/>
      <c r="IV21" s="384"/>
      <c r="IW21" s="384"/>
      <c r="IX21" s="384"/>
      <c r="IY21" s="346" t="s">
        <v>152</v>
      </c>
      <c r="IZ21" s="346"/>
      <c r="JA21" s="346"/>
      <c r="JB21" s="346"/>
      <c r="JC21" s="346"/>
      <c r="JD21" s="346"/>
      <c r="JE21" s="384"/>
    </row>
    <row r="22" spans="1:265" s="179" customFormat="1" ht="19.95" customHeight="1">
      <c r="A22" s="444"/>
      <c r="B22" s="333"/>
      <c r="C22" s="328" t="s">
        <v>151</v>
      </c>
      <c r="D22" s="178"/>
      <c r="E22" s="445">
        <f>COUNTIFS(Table1351452010[[#All],[Sales]],"คุณจิรภิญญา เป็นปึก",Table1351452010[[#All],[ค่าเชื่อมสัญญาณ/
ค่าติดตั้ง/
ค่าขายอุปกรณ์]],"&gt;1")</f>
        <v>0</v>
      </c>
      <c r="F22" s="446">
        <f>SUMIF(Table1351452010[[#All],[Sales]],"คุณจิรภิญญา เป็นปึก",Table1351452010[[#All],[Total
ค่าเชื่มสัญญาณ/ค่าติดตั้ง/
ค่าขายอุปกรณ์
(2)]])</f>
        <v>0</v>
      </c>
      <c r="G22" s="433">
        <v>0</v>
      </c>
      <c r="H22" s="435">
        <f t="shared" si="2"/>
        <v>0</v>
      </c>
      <c r="I22" s="359"/>
      <c r="J22" s="359"/>
      <c r="K22" s="359"/>
      <c r="L22" s="359"/>
      <c r="M22" s="380"/>
      <c r="N22" s="361"/>
      <c r="O22" s="361"/>
      <c r="P22" s="361"/>
      <c r="Q22" s="361"/>
      <c r="R22" s="361"/>
      <c r="S22" s="361"/>
      <c r="T22" s="361"/>
      <c r="U22" s="361"/>
      <c r="V22" s="361"/>
      <c r="W22" s="361"/>
      <c r="X22" s="361"/>
      <c r="Y22" s="361"/>
      <c r="Z22" s="361"/>
      <c r="AA22" s="361"/>
      <c r="AB22" s="361"/>
      <c r="AC22" s="361"/>
      <c r="AD22" s="361"/>
      <c r="AE22" s="361"/>
      <c r="AF22" s="361"/>
      <c r="AG22" s="361"/>
      <c r="AH22" s="361"/>
      <c r="AI22" s="361"/>
      <c r="AJ22" s="361"/>
      <c r="AK22" s="361"/>
      <c r="AL22" s="361"/>
      <c r="AM22" s="361"/>
      <c r="AN22" s="361"/>
      <c r="AO22" s="361"/>
      <c r="AP22" s="361"/>
      <c r="AQ22" s="361"/>
      <c r="AR22" s="361"/>
      <c r="AS22" s="361"/>
      <c r="AT22" s="361"/>
      <c r="AU22" s="361"/>
      <c r="AV22" s="361"/>
      <c r="AW22" s="361"/>
      <c r="AX22" s="361"/>
      <c r="AY22" s="361"/>
      <c r="AZ22" s="361"/>
      <c r="BA22" s="361"/>
      <c r="BB22" s="361"/>
      <c r="BC22" s="361"/>
      <c r="BD22" s="361"/>
      <c r="BE22" s="361"/>
      <c r="BF22" s="361"/>
      <c r="BG22" s="361"/>
      <c r="BH22" s="361"/>
      <c r="BI22" s="361"/>
      <c r="BJ22" s="361"/>
      <c r="BK22" s="361"/>
      <c r="BL22" s="361"/>
      <c r="BM22" s="361"/>
      <c r="BN22" s="361"/>
      <c r="BO22" s="361"/>
      <c r="BP22" s="361"/>
      <c r="BQ22" s="361"/>
      <c r="BR22" s="361"/>
      <c r="BS22" s="361"/>
      <c r="BT22" s="361"/>
      <c r="BU22" s="361"/>
      <c r="BV22" s="361"/>
      <c r="BW22" s="361"/>
      <c r="BX22" s="361"/>
      <c r="BY22" s="361"/>
      <c r="BZ22" s="361"/>
      <c r="CA22" s="361"/>
      <c r="CB22" s="361"/>
      <c r="CC22" s="361"/>
      <c r="CD22" s="361"/>
      <c r="CE22" s="361"/>
      <c r="CF22" s="361"/>
      <c r="CG22" s="361"/>
      <c r="CH22" s="361"/>
      <c r="CI22" s="361"/>
      <c r="CJ22" s="361"/>
      <c r="CK22" s="361"/>
      <c r="CL22" s="361"/>
      <c r="CM22" s="361"/>
      <c r="CN22" s="361"/>
      <c r="CO22" s="361"/>
      <c r="CP22" s="361"/>
      <c r="CQ22" s="361"/>
      <c r="CR22" s="361"/>
      <c r="CS22" s="361"/>
      <c r="CT22" s="361"/>
      <c r="CU22" s="361"/>
      <c r="CV22" s="361"/>
      <c r="CW22" s="361"/>
      <c r="CX22" s="361"/>
      <c r="CY22" s="361"/>
      <c r="CZ22" s="361"/>
      <c r="DA22" s="361"/>
      <c r="DB22" s="361"/>
      <c r="DC22" s="361"/>
      <c r="DD22" s="361"/>
      <c r="DE22" s="361"/>
      <c r="DF22" s="361"/>
      <c r="DG22" s="361"/>
      <c r="DH22" s="361"/>
      <c r="DI22" s="361"/>
      <c r="DJ22" s="361"/>
      <c r="DK22" s="361"/>
      <c r="DL22" s="361"/>
      <c r="DM22" s="361"/>
      <c r="DN22" s="361"/>
      <c r="DO22" s="361"/>
      <c r="DP22" s="361"/>
      <c r="DQ22" s="361"/>
      <c r="DR22" s="361"/>
      <c r="DS22" s="361"/>
      <c r="DT22" s="361"/>
      <c r="DU22" s="361"/>
      <c r="DV22" s="361"/>
      <c r="DW22" s="361"/>
      <c r="DX22" s="361"/>
      <c r="DY22" s="361"/>
      <c r="DZ22" s="361"/>
      <c r="EA22" s="361"/>
      <c r="EB22" s="361"/>
      <c r="EC22" s="361"/>
      <c r="ED22" s="361"/>
      <c r="EE22" s="361"/>
      <c r="EF22" s="361"/>
      <c r="EG22" s="361"/>
      <c r="EH22" s="361"/>
      <c r="EI22" s="361"/>
      <c r="EJ22" s="361"/>
      <c r="EK22" s="361"/>
      <c r="EL22" s="361"/>
      <c r="EM22" s="361"/>
      <c r="EN22" s="361"/>
      <c r="EO22" s="361"/>
      <c r="EP22" s="361"/>
      <c r="EQ22" s="361"/>
      <c r="ER22" s="361"/>
      <c r="ES22" s="361"/>
      <c r="ET22" s="361"/>
      <c r="EU22" s="361"/>
      <c r="EV22" s="361"/>
      <c r="EW22" s="361"/>
      <c r="EX22" s="361"/>
      <c r="EY22" s="361"/>
      <c r="EZ22" s="361"/>
      <c r="FA22" s="361"/>
      <c r="FB22" s="361"/>
      <c r="FC22" s="361"/>
      <c r="FD22" s="361"/>
      <c r="FE22" s="361"/>
      <c r="FF22" s="361"/>
      <c r="FG22" s="361"/>
      <c r="FH22" s="361"/>
      <c r="FI22" s="361"/>
      <c r="FJ22" s="361"/>
      <c r="FK22" s="361"/>
      <c r="FL22" s="361"/>
      <c r="FM22" s="361"/>
      <c r="FN22" s="361"/>
      <c r="FO22" s="361"/>
      <c r="FP22" s="361"/>
      <c r="FQ22" s="361"/>
      <c r="FR22" s="361"/>
      <c r="FS22" s="361"/>
      <c r="FT22" s="361"/>
      <c r="FU22" s="361"/>
      <c r="FV22" s="361"/>
      <c r="FW22" s="361"/>
      <c r="FX22" s="361"/>
      <c r="FY22" s="361"/>
      <c r="FZ22" s="361"/>
      <c r="GA22" s="361"/>
      <c r="GB22" s="361"/>
      <c r="GC22" s="361"/>
      <c r="GD22" s="361"/>
      <c r="GE22" s="361"/>
      <c r="GF22" s="361"/>
      <c r="GG22" s="361"/>
      <c r="GH22" s="361"/>
      <c r="GI22" s="361"/>
      <c r="GJ22" s="361"/>
      <c r="GK22" s="361"/>
      <c r="GL22" s="361"/>
      <c r="GM22" s="361"/>
      <c r="GN22" s="361"/>
      <c r="GO22" s="361"/>
      <c r="GP22" s="361"/>
      <c r="GQ22" s="361"/>
      <c r="GR22" s="361"/>
      <c r="GS22" s="361"/>
      <c r="GT22" s="361"/>
      <c r="GU22" s="361"/>
      <c r="GV22" s="361"/>
      <c r="GW22" s="361"/>
      <c r="GX22" s="361"/>
      <c r="GY22" s="361"/>
      <c r="GZ22" s="361"/>
      <c r="HA22" s="361"/>
      <c r="HB22" s="361"/>
      <c r="HC22" s="361"/>
      <c r="HD22" s="361"/>
      <c r="HE22" s="361"/>
      <c r="HF22" s="361"/>
      <c r="HG22" s="361"/>
      <c r="HH22" s="361"/>
      <c r="HI22" s="361"/>
      <c r="HJ22" s="361"/>
      <c r="HK22" s="361"/>
      <c r="HL22" s="361"/>
      <c r="HM22" s="361"/>
      <c r="HN22" s="361"/>
      <c r="HO22" s="361"/>
      <c r="HP22" s="361"/>
      <c r="HQ22" s="361"/>
      <c r="HR22" s="361"/>
      <c r="HS22" s="361"/>
      <c r="HT22" s="361"/>
      <c r="HU22" s="361"/>
      <c r="HV22" s="361"/>
      <c r="HW22" s="361"/>
      <c r="HX22" s="361"/>
      <c r="HY22" s="361"/>
      <c r="HZ22" s="361"/>
      <c r="IA22" s="361"/>
      <c r="IB22" s="361"/>
      <c r="IC22" s="361"/>
      <c r="ID22" s="361"/>
      <c r="IE22" s="361"/>
      <c r="IF22" s="361"/>
      <c r="IG22" s="361"/>
      <c r="IH22" s="361"/>
      <c r="II22" s="361"/>
      <c r="IJ22" s="361"/>
      <c r="IK22" s="361"/>
      <c r="IL22" s="361"/>
      <c r="IM22" s="361"/>
      <c r="IN22" s="361"/>
      <c r="IO22" s="361"/>
      <c r="IP22" s="384"/>
      <c r="IQ22" s="384"/>
      <c r="IR22" s="384"/>
      <c r="IS22" s="384"/>
      <c r="IT22" s="384"/>
      <c r="IU22" s="384"/>
      <c r="IV22" s="384"/>
      <c r="IW22" s="384"/>
      <c r="IX22" s="384"/>
      <c r="IY22" s="346" t="s">
        <v>130</v>
      </c>
      <c r="IZ22" s="346"/>
      <c r="JA22" s="346"/>
      <c r="JB22" s="346"/>
      <c r="JC22" s="346"/>
      <c r="JD22" s="346"/>
      <c r="JE22" s="384"/>
    </row>
    <row r="23" spans="1:265" s="179" customFormat="1" ht="19.95" customHeight="1">
      <c r="A23" s="444"/>
      <c r="B23" s="333"/>
      <c r="C23" s="328" t="s">
        <v>72</v>
      </c>
      <c r="D23" s="178"/>
      <c r="E23" s="445">
        <f>COUNTIFS(Table1351452010[[#All],[Sales]],"คุณแดง มูลสองแคว",Table1351452010[[#All],[ค่าเชื่อมสัญญาณ/
ค่าติดตั้ง/
ค่าขายอุปกรณ์]],"&gt;1")</f>
        <v>1</v>
      </c>
      <c r="F23" s="446">
        <f>SUMIF(Table1351452010[[#All],[Sales]],"คุณแดง มูลสองแคว",Table1351452010[[#All],[Total
ค่าเชื่มสัญญาณ/ค่าติดตั้ง/
ค่าขายอุปกรณ์
(2)]])</f>
        <v>360</v>
      </c>
      <c r="G23" s="433">
        <v>0</v>
      </c>
      <c r="H23" s="435">
        <f t="shared" si="2"/>
        <v>360</v>
      </c>
      <c r="I23" s="359"/>
      <c r="J23" s="359"/>
      <c r="K23" s="359"/>
      <c r="L23" s="359"/>
      <c r="M23" s="380"/>
      <c r="N23" s="361"/>
      <c r="O23" s="361"/>
      <c r="P23" s="361"/>
      <c r="Q23" s="361"/>
      <c r="R23" s="361"/>
      <c r="S23" s="361"/>
      <c r="T23" s="361"/>
      <c r="U23" s="361"/>
      <c r="V23" s="361"/>
      <c r="W23" s="361"/>
      <c r="X23" s="361"/>
      <c r="Y23" s="361"/>
      <c r="Z23" s="361"/>
      <c r="AA23" s="361"/>
      <c r="AB23" s="361"/>
      <c r="AC23" s="361"/>
      <c r="AD23" s="361"/>
      <c r="AE23" s="361"/>
      <c r="AF23" s="361"/>
      <c r="AG23" s="361"/>
      <c r="AH23" s="361"/>
      <c r="AI23" s="361"/>
      <c r="AJ23" s="361"/>
      <c r="AK23" s="361"/>
      <c r="AL23" s="361"/>
      <c r="AM23" s="361"/>
      <c r="AN23" s="361"/>
      <c r="AO23" s="361"/>
      <c r="AP23" s="361"/>
      <c r="AQ23" s="361"/>
      <c r="AR23" s="361"/>
      <c r="AS23" s="361"/>
      <c r="AT23" s="361"/>
      <c r="AU23" s="361"/>
      <c r="AV23" s="361"/>
      <c r="AW23" s="361"/>
      <c r="AX23" s="361"/>
      <c r="AY23" s="361"/>
      <c r="AZ23" s="361"/>
      <c r="BA23" s="361"/>
      <c r="BB23" s="361"/>
      <c r="BC23" s="361"/>
      <c r="BD23" s="361"/>
      <c r="BE23" s="361"/>
      <c r="BF23" s="361"/>
      <c r="BG23" s="361"/>
      <c r="BH23" s="361"/>
      <c r="BI23" s="361"/>
      <c r="BJ23" s="361"/>
      <c r="BK23" s="361"/>
      <c r="BL23" s="361"/>
      <c r="BM23" s="361"/>
      <c r="BN23" s="361"/>
      <c r="BO23" s="361"/>
      <c r="BP23" s="361"/>
      <c r="BQ23" s="361"/>
      <c r="BR23" s="361"/>
      <c r="BS23" s="361"/>
      <c r="BT23" s="361"/>
      <c r="BU23" s="361"/>
      <c r="BV23" s="361"/>
      <c r="BW23" s="361"/>
      <c r="BX23" s="361"/>
      <c r="BY23" s="361"/>
      <c r="BZ23" s="361"/>
      <c r="CA23" s="361"/>
      <c r="CB23" s="361"/>
      <c r="CC23" s="361"/>
      <c r="CD23" s="361"/>
      <c r="CE23" s="361"/>
      <c r="CF23" s="361"/>
      <c r="CG23" s="361"/>
      <c r="CH23" s="361"/>
      <c r="CI23" s="361"/>
      <c r="CJ23" s="361"/>
      <c r="CK23" s="361"/>
      <c r="CL23" s="361"/>
      <c r="CM23" s="361"/>
      <c r="CN23" s="361"/>
      <c r="CO23" s="361"/>
      <c r="CP23" s="361"/>
      <c r="CQ23" s="361"/>
      <c r="CR23" s="361"/>
      <c r="CS23" s="361"/>
      <c r="CT23" s="361"/>
      <c r="CU23" s="361"/>
      <c r="CV23" s="361"/>
      <c r="CW23" s="361"/>
      <c r="CX23" s="361"/>
      <c r="CY23" s="361"/>
      <c r="CZ23" s="361"/>
      <c r="DA23" s="361"/>
      <c r="DB23" s="361"/>
      <c r="DC23" s="361"/>
      <c r="DD23" s="361"/>
      <c r="DE23" s="361"/>
      <c r="DF23" s="361"/>
      <c r="DG23" s="361"/>
      <c r="DH23" s="361"/>
      <c r="DI23" s="361"/>
      <c r="DJ23" s="361"/>
      <c r="DK23" s="361"/>
      <c r="DL23" s="361"/>
      <c r="DM23" s="361"/>
      <c r="DN23" s="361"/>
      <c r="DO23" s="361"/>
      <c r="DP23" s="361"/>
      <c r="DQ23" s="361"/>
      <c r="DR23" s="361"/>
      <c r="DS23" s="361"/>
      <c r="DT23" s="361"/>
      <c r="DU23" s="361"/>
      <c r="DV23" s="361"/>
      <c r="DW23" s="361"/>
      <c r="DX23" s="361"/>
      <c r="DY23" s="361"/>
      <c r="DZ23" s="361"/>
      <c r="EA23" s="361"/>
      <c r="EB23" s="361"/>
      <c r="EC23" s="361"/>
      <c r="ED23" s="361"/>
      <c r="EE23" s="361"/>
      <c r="EF23" s="361"/>
      <c r="EG23" s="361"/>
      <c r="EH23" s="361"/>
      <c r="EI23" s="361"/>
      <c r="EJ23" s="361"/>
      <c r="EK23" s="361"/>
      <c r="EL23" s="361"/>
      <c r="EM23" s="361"/>
      <c r="EN23" s="361"/>
      <c r="EO23" s="361"/>
      <c r="EP23" s="361"/>
      <c r="EQ23" s="361"/>
      <c r="ER23" s="361"/>
      <c r="ES23" s="361"/>
      <c r="ET23" s="361"/>
      <c r="EU23" s="361"/>
      <c r="EV23" s="361"/>
      <c r="EW23" s="361"/>
      <c r="EX23" s="361"/>
      <c r="EY23" s="361"/>
      <c r="EZ23" s="361"/>
      <c r="FA23" s="361"/>
      <c r="FB23" s="361"/>
      <c r="FC23" s="361"/>
      <c r="FD23" s="361"/>
      <c r="FE23" s="361"/>
      <c r="FF23" s="361"/>
      <c r="FG23" s="361"/>
      <c r="FH23" s="361"/>
      <c r="FI23" s="361"/>
      <c r="FJ23" s="361"/>
      <c r="FK23" s="361"/>
      <c r="FL23" s="361"/>
      <c r="FM23" s="361"/>
      <c r="FN23" s="361"/>
      <c r="FO23" s="361"/>
      <c r="FP23" s="361"/>
      <c r="FQ23" s="361"/>
      <c r="FR23" s="361"/>
      <c r="FS23" s="361"/>
      <c r="FT23" s="361"/>
      <c r="FU23" s="361"/>
      <c r="FV23" s="361"/>
      <c r="FW23" s="361"/>
      <c r="FX23" s="361"/>
      <c r="FY23" s="361"/>
      <c r="FZ23" s="361"/>
      <c r="GA23" s="361"/>
      <c r="GB23" s="361"/>
      <c r="GC23" s="361"/>
      <c r="GD23" s="361"/>
      <c r="GE23" s="361"/>
      <c r="GF23" s="361"/>
      <c r="GG23" s="361"/>
      <c r="GH23" s="361"/>
      <c r="GI23" s="361"/>
      <c r="GJ23" s="361"/>
      <c r="GK23" s="361"/>
      <c r="GL23" s="361"/>
      <c r="GM23" s="361"/>
      <c r="GN23" s="361"/>
      <c r="GO23" s="361"/>
      <c r="GP23" s="361"/>
      <c r="GQ23" s="361"/>
      <c r="GR23" s="361"/>
      <c r="GS23" s="361"/>
      <c r="GT23" s="361"/>
      <c r="GU23" s="361"/>
      <c r="GV23" s="361"/>
      <c r="GW23" s="361"/>
      <c r="GX23" s="361"/>
      <c r="GY23" s="361"/>
      <c r="GZ23" s="361"/>
      <c r="HA23" s="361"/>
      <c r="HB23" s="361"/>
      <c r="HC23" s="361"/>
      <c r="HD23" s="361"/>
      <c r="HE23" s="361"/>
      <c r="HF23" s="361"/>
      <c r="HG23" s="361"/>
      <c r="HH23" s="361"/>
      <c r="HI23" s="361"/>
      <c r="HJ23" s="361"/>
      <c r="HK23" s="361"/>
      <c r="HL23" s="361"/>
      <c r="HM23" s="361"/>
      <c r="HN23" s="361"/>
      <c r="HO23" s="361"/>
      <c r="HP23" s="361"/>
      <c r="HQ23" s="361"/>
      <c r="HR23" s="361"/>
      <c r="HS23" s="361"/>
      <c r="HT23" s="361"/>
      <c r="HU23" s="361"/>
      <c r="HV23" s="361"/>
      <c r="HW23" s="361"/>
      <c r="HX23" s="361"/>
      <c r="HY23" s="361"/>
      <c r="HZ23" s="361"/>
      <c r="IA23" s="361"/>
      <c r="IB23" s="361"/>
      <c r="IC23" s="361"/>
      <c r="ID23" s="361"/>
      <c r="IE23" s="361"/>
      <c r="IF23" s="361"/>
      <c r="IG23" s="361"/>
      <c r="IH23" s="361"/>
      <c r="II23" s="361"/>
      <c r="IJ23" s="361"/>
      <c r="IK23" s="361"/>
      <c r="IL23" s="361"/>
      <c r="IM23" s="361"/>
      <c r="IN23" s="361"/>
      <c r="IO23" s="361"/>
      <c r="IP23" s="384"/>
      <c r="IQ23" s="384"/>
      <c r="IR23" s="384"/>
      <c r="IS23" s="384"/>
      <c r="IT23" s="384"/>
      <c r="IU23" s="384"/>
      <c r="IV23" s="384"/>
      <c r="IW23" s="384"/>
      <c r="IX23" s="384"/>
      <c r="IY23" s="346" t="s">
        <v>151</v>
      </c>
      <c r="IZ23" s="346"/>
      <c r="JA23" s="346"/>
      <c r="JB23" s="346"/>
      <c r="JC23" s="346"/>
      <c r="JD23" s="346"/>
      <c r="JE23" s="384"/>
    </row>
    <row r="24" spans="1:265" s="179" customFormat="1" ht="19.95" customHeight="1" thickBot="1">
      <c r="A24" s="444"/>
      <c r="B24" s="335"/>
      <c r="C24" s="328" t="s">
        <v>67</v>
      </c>
      <c r="D24" s="178"/>
      <c r="E24" s="445">
        <f>COUNTIFS(Table1351452010[[#All],[Sales]],"คุณรุ่งอรุณ อินบุญรอด",Table1351452010[[#All],[ค่าเชื่อมสัญญาณ/
ค่าติดตั้ง/
ค่าขายอุปกรณ์]],"&gt;1")</f>
        <v>0</v>
      </c>
      <c r="F24" s="446">
        <f>SUMIF(Table1351452010[[#All],[Sales]],"คุณรุ่งอรุณ อินบุญรอด",Table1351452010[[#All],[Total
ค่าเชื่มสัญญาณ/ค่าติดตั้ง/
ค่าขายอุปกรณ์
(2)]])</f>
        <v>0</v>
      </c>
      <c r="G24" s="433">
        <v>0</v>
      </c>
      <c r="H24" s="435">
        <f t="shared" si="2"/>
        <v>0</v>
      </c>
      <c r="I24" s="359"/>
      <c r="J24" s="359"/>
      <c r="K24" s="359"/>
      <c r="L24" s="359"/>
      <c r="M24" s="380"/>
      <c r="N24" s="361"/>
      <c r="O24" s="361"/>
      <c r="P24" s="361"/>
      <c r="Q24" s="361"/>
      <c r="R24" s="361"/>
      <c r="S24" s="361"/>
      <c r="T24" s="361"/>
      <c r="U24" s="361"/>
      <c r="V24" s="361"/>
      <c r="W24" s="361"/>
      <c r="X24" s="361"/>
      <c r="Y24" s="361"/>
      <c r="Z24" s="361"/>
      <c r="AA24" s="361"/>
      <c r="AB24" s="361"/>
      <c r="AC24" s="361"/>
      <c r="AD24" s="361"/>
      <c r="AE24" s="361"/>
      <c r="AF24" s="361"/>
      <c r="AG24" s="361"/>
      <c r="AH24" s="361"/>
      <c r="AI24" s="361"/>
      <c r="AJ24" s="361"/>
      <c r="AK24" s="361"/>
      <c r="AL24" s="361"/>
      <c r="AM24" s="361"/>
      <c r="AN24" s="361"/>
      <c r="AO24" s="361"/>
      <c r="AP24" s="361"/>
      <c r="AQ24" s="361"/>
      <c r="AR24" s="361"/>
      <c r="AS24" s="361"/>
      <c r="AT24" s="361"/>
      <c r="AU24" s="361"/>
      <c r="AV24" s="361"/>
      <c r="AW24" s="361"/>
      <c r="AX24" s="361"/>
      <c r="AY24" s="361"/>
      <c r="AZ24" s="361"/>
      <c r="BA24" s="361"/>
      <c r="BB24" s="361"/>
      <c r="BC24" s="361"/>
      <c r="BD24" s="361"/>
      <c r="BE24" s="361"/>
      <c r="BF24" s="361"/>
      <c r="BG24" s="361"/>
      <c r="BH24" s="361"/>
      <c r="BI24" s="361"/>
      <c r="BJ24" s="361"/>
      <c r="BK24" s="361"/>
      <c r="BL24" s="361"/>
      <c r="BM24" s="361"/>
      <c r="BN24" s="361"/>
      <c r="BO24" s="361"/>
      <c r="BP24" s="361"/>
      <c r="BQ24" s="361"/>
      <c r="BR24" s="361"/>
      <c r="BS24" s="361"/>
      <c r="BT24" s="361"/>
      <c r="BU24" s="361"/>
      <c r="BV24" s="361"/>
      <c r="BW24" s="361"/>
      <c r="BX24" s="361"/>
      <c r="BY24" s="361"/>
      <c r="BZ24" s="361"/>
      <c r="CA24" s="361"/>
      <c r="CB24" s="361"/>
      <c r="CC24" s="361"/>
      <c r="CD24" s="361"/>
      <c r="CE24" s="361"/>
      <c r="CF24" s="361"/>
      <c r="CG24" s="361"/>
      <c r="CH24" s="361"/>
      <c r="CI24" s="361"/>
      <c r="CJ24" s="361"/>
      <c r="CK24" s="361"/>
      <c r="CL24" s="361"/>
      <c r="CM24" s="361"/>
      <c r="CN24" s="361"/>
      <c r="CO24" s="361"/>
      <c r="CP24" s="361"/>
      <c r="CQ24" s="361"/>
      <c r="CR24" s="361"/>
      <c r="CS24" s="361"/>
      <c r="CT24" s="361"/>
      <c r="CU24" s="361"/>
      <c r="CV24" s="361"/>
      <c r="CW24" s="361"/>
      <c r="CX24" s="361"/>
      <c r="CY24" s="361"/>
      <c r="CZ24" s="361"/>
      <c r="DA24" s="361"/>
      <c r="DB24" s="361"/>
      <c r="DC24" s="361"/>
      <c r="DD24" s="361"/>
      <c r="DE24" s="361"/>
      <c r="DF24" s="361"/>
      <c r="DG24" s="361"/>
      <c r="DH24" s="361"/>
      <c r="DI24" s="361"/>
      <c r="DJ24" s="361"/>
      <c r="DK24" s="361"/>
      <c r="DL24" s="361"/>
      <c r="DM24" s="361"/>
      <c r="DN24" s="361"/>
      <c r="DO24" s="361"/>
      <c r="DP24" s="361"/>
      <c r="DQ24" s="361"/>
      <c r="DR24" s="361"/>
      <c r="DS24" s="361"/>
      <c r="DT24" s="361"/>
      <c r="DU24" s="361"/>
      <c r="DV24" s="361"/>
      <c r="DW24" s="361"/>
      <c r="DX24" s="361"/>
      <c r="DY24" s="361"/>
      <c r="DZ24" s="361"/>
      <c r="EA24" s="361"/>
      <c r="EB24" s="361"/>
      <c r="EC24" s="361"/>
      <c r="ED24" s="361"/>
      <c r="EE24" s="361"/>
      <c r="EF24" s="361"/>
      <c r="EG24" s="361"/>
      <c r="EH24" s="361"/>
      <c r="EI24" s="361"/>
      <c r="EJ24" s="361"/>
      <c r="EK24" s="361"/>
      <c r="EL24" s="361"/>
      <c r="EM24" s="361"/>
      <c r="EN24" s="361"/>
      <c r="EO24" s="361"/>
      <c r="EP24" s="361"/>
      <c r="EQ24" s="361"/>
      <c r="ER24" s="361"/>
      <c r="ES24" s="361"/>
      <c r="ET24" s="361"/>
      <c r="EU24" s="361"/>
      <c r="EV24" s="361"/>
      <c r="EW24" s="361"/>
      <c r="EX24" s="361"/>
      <c r="EY24" s="361"/>
      <c r="EZ24" s="361"/>
      <c r="FA24" s="361"/>
      <c r="FB24" s="361"/>
      <c r="FC24" s="361"/>
      <c r="FD24" s="361"/>
      <c r="FE24" s="361"/>
      <c r="FF24" s="361"/>
      <c r="FG24" s="361"/>
      <c r="FH24" s="361"/>
      <c r="FI24" s="361"/>
      <c r="FJ24" s="361"/>
      <c r="FK24" s="361"/>
      <c r="FL24" s="361"/>
      <c r="FM24" s="361"/>
      <c r="FN24" s="361"/>
      <c r="FO24" s="361"/>
      <c r="FP24" s="361"/>
      <c r="FQ24" s="361"/>
      <c r="FR24" s="361"/>
      <c r="FS24" s="361"/>
      <c r="FT24" s="361"/>
      <c r="FU24" s="361"/>
      <c r="FV24" s="361"/>
      <c r="FW24" s="361"/>
      <c r="FX24" s="361"/>
      <c r="FY24" s="361"/>
      <c r="FZ24" s="361"/>
      <c r="GA24" s="361"/>
      <c r="GB24" s="361"/>
      <c r="GC24" s="361"/>
      <c r="GD24" s="361"/>
      <c r="GE24" s="361"/>
      <c r="GF24" s="361"/>
      <c r="GG24" s="361"/>
      <c r="GH24" s="361"/>
      <c r="GI24" s="361"/>
      <c r="GJ24" s="361"/>
      <c r="GK24" s="361"/>
      <c r="GL24" s="361"/>
      <c r="GM24" s="361"/>
      <c r="GN24" s="361"/>
      <c r="GO24" s="361"/>
      <c r="GP24" s="361"/>
      <c r="GQ24" s="361"/>
      <c r="GR24" s="361"/>
      <c r="GS24" s="361"/>
      <c r="GT24" s="361"/>
      <c r="GU24" s="361"/>
      <c r="GV24" s="361"/>
      <c r="GW24" s="361"/>
      <c r="GX24" s="361"/>
      <c r="GY24" s="361"/>
      <c r="GZ24" s="361"/>
      <c r="HA24" s="361"/>
      <c r="HB24" s="361"/>
      <c r="HC24" s="361"/>
      <c r="HD24" s="361"/>
      <c r="HE24" s="361"/>
      <c r="HF24" s="361"/>
      <c r="HG24" s="361"/>
      <c r="HH24" s="361"/>
      <c r="HI24" s="361"/>
      <c r="HJ24" s="361"/>
      <c r="HK24" s="361"/>
      <c r="HL24" s="361"/>
      <c r="HM24" s="361"/>
      <c r="HN24" s="361"/>
      <c r="HO24" s="361"/>
      <c r="HP24" s="361"/>
      <c r="HQ24" s="361"/>
      <c r="HR24" s="361"/>
      <c r="HS24" s="361"/>
      <c r="HT24" s="361"/>
      <c r="HU24" s="361"/>
      <c r="HV24" s="361"/>
      <c r="HW24" s="361"/>
      <c r="HX24" s="361"/>
      <c r="HY24" s="361"/>
      <c r="HZ24" s="361"/>
      <c r="IA24" s="361"/>
      <c r="IB24" s="361"/>
      <c r="IC24" s="361"/>
      <c r="ID24" s="361"/>
      <c r="IE24" s="361"/>
      <c r="IF24" s="361"/>
      <c r="IG24" s="361"/>
      <c r="IH24" s="361"/>
      <c r="II24" s="361"/>
      <c r="IJ24" s="361"/>
      <c r="IK24" s="361"/>
      <c r="IL24" s="361"/>
      <c r="IM24" s="361"/>
      <c r="IN24" s="361"/>
      <c r="IO24" s="361"/>
      <c r="IP24" s="384"/>
      <c r="IQ24" s="384"/>
      <c r="IR24" s="384"/>
      <c r="IS24" s="384"/>
      <c r="IT24" s="384"/>
      <c r="IU24" s="384"/>
      <c r="IV24" s="384"/>
      <c r="IW24" s="384"/>
      <c r="IX24" s="384"/>
      <c r="IY24" s="346" t="s">
        <v>68</v>
      </c>
      <c r="IZ24" s="346"/>
      <c r="JA24" s="346"/>
      <c r="JB24" s="346"/>
      <c r="JC24" s="346"/>
      <c r="JD24" s="346"/>
      <c r="JE24" s="384"/>
    </row>
    <row r="25" spans="1:265" s="175" customFormat="1" ht="19.95" customHeight="1">
      <c r="A25" s="440">
        <v>3</v>
      </c>
      <c r="B25" s="713" t="s">
        <v>144</v>
      </c>
      <c r="C25" s="425" t="s">
        <v>70</v>
      </c>
      <c r="D25" s="718" t="s">
        <v>149</v>
      </c>
      <c r="E25" s="442">
        <f>COUNTIFS(Table1351452010[[#All],[Sales]],"คุณนิมิต จุ้ยอยู่ทอง",Table1351452010[[#All],[Total 
คอมฯค่าเชื่อมสัญญาณ
(3)]],"&gt;1")</f>
        <v>0</v>
      </c>
      <c r="F25" s="443">
        <f>SUMIF(Table1351452010[[#All],[Sales]],"คุณนิมิต จุ้ยอยู่ทอง",Table1351452010[[#All],[Total 
คอมฯค่าเชื่อมสัญญาณ
(3)]])</f>
        <v>0</v>
      </c>
      <c r="G25" s="429">
        <v>0</v>
      </c>
      <c r="H25" s="430">
        <f>F25-G25</f>
        <v>0</v>
      </c>
      <c r="I25" s="685" t="s">
        <v>178</v>
      </c>
      <c r="J25" s="359"/>
      <c r="K25" s="359"/>
      <c r="L25" s="359"/>
      <c r="M25" s="360"/>
      <c r="N25" s="361"/>
      <c r="O25" s="361"/>
      <c r="P25" s="361"/>
      <c r="Q25" s="361"/>
      <c r="R25" s="361"/>
      <c r="S25" s="361"/>
      <c r="T25" s="361"/>
      <c r="U25" s="361"/>
      <c r="V25" s="361"/>
      <c r="W25" s="361"/>
      <c r="X25" s="361"/>
      <c r="Y25" s="361"/>
      <c r="Z25" s="361"/>
      <c r="AA25" s="361"/>
      <c r="AB25" s="361"/>
      <c r="AC25" s="361"/>
      <c r="AD25" s="361"/>
      <c r="AE25" s="361"/>
      <c r="AF25" s="361"/>
      <c r="AG25" s="361"/>
      <c r="AH25" s="361"/>
      <c r="AI25" s="361"/>
      <c r="AJ25" s="361"/>
      <c r="AK25" s="361"/>
      <c r="AL25" s="361"/>
      <c r="AM25" s="361"/>
      <c r="AN25" s="361"/>
      <c r="AO25" s="361"/>
      <c r="AP25" s="361"/>
      <c r="AQ25" s="361"/>
      <c r="AR25" s="361"/>
      <c r="AS25" s="361"/>
      <c r="AT25" s="361"/>
      <c r="AU25" s="361"/>
      <c r="AV25" s="361"/>
      <c r="AW25" s="361"/>
      <c r="AX25" s="361"/>
      <c r="AY25" s="361"/>
      <c r="AZ25" s="361"/>
      <c r="BA25" s="361"/>
      <c r="BB25" s="361"/>
      <c r="BC25" s="361"/>
      <c r="BD25" s="361"/>
      <c r="BE25" s="361"/>
      <c r="BF25" s="361"/>
      <c r="BG25" s="361"/>
      <c r="BH25" s="361"/>
      <c r="BI25" s="361"/>
      <c r="BJ25" s="361"/>
      <c r="BK25" s="361"/>
      <c r="BL25" s="361"/>
      <c r="BM25" s="361"/>
      <c r="BN25" s="361"/>
      <c r="BO25" s="361"/>
      <c r="BP25" s="361"/>
      <c r="BQ25" s="361"/>
      <c r="BR25" s="361"/>
      <c r="BS25" s="361"/>
      <c r="BT25" s="361"/>
      <c r="BU25" s="361"/>
      <c r="BV25" s="361"/>
      <c r="BW25" s="361"/>
      <c r="BX25" s="361"/>
      <c r="BY25" s="361"/>
      <c r="BZ25" s="361"/>
      <c r="CA25" s="361"/>
      <c r="CB25" s="361"/>
      <c r="CC25" s="361"/>
      <c r="CD25" s="361"/>
      <c r="CE25" s="361"/>
      <c r="CF25" s="361"/>
      <c r="CG25" s="361"/>
      <c r="CH25" s="361"/>
      <c r="CI25" s="361"/>
      <c r="CJ25" s="361"/>
      <c r="CK25" s="361"/>
      <c r="CL25" s="361"/>
      <c r="CM25" s="361"/>
      <c r="CN25" s="361"/>
      <c r="CO25" s="361"/>
      <c r="CP25" s="361"/>
      <c r="CQ25" s="361"/>
      <c r="CR25" s="361"/>
      <c r="CS25" s="361"/>
      <c r="CT25" s="361"/>
      <c r="CU25" s="361"/>
      <c r="CV25" s="361"/>
      <c r="CW25" s="361"/>
      <c r="CX25" s="361"/>
      <c r="CY25" s="361"/>
      <c r="CZ25" s="361"/>
      <c r="DA25" s="361"/>
      <c r="DB25" s="361"/>
      <c r="DC25" s="361"/>
      <c r="DD25" s="361"/>
      <c r="DE25" s="361"/>
      <c r="DF25" s="361"/>
      <c r="DG25" s="361"/>
      <c r="DH25" s="361"/>
      <c r="DI25" s="361"/>
      <c r="DJ25" s="361"/>
      <c r="DK25" s="361"/>
      <c r="DL25" s="361"/>
      <c r="DM25" s="361"/>
      <c r="DN25" s="361"/>
      <c r="DO25" s="361"/>
      <c r="DP25" s="361"/>
      <c r="DQ25" s="361"/>
      <c r="DR25" s="361"/>
      <c r="DS25" s="361"/>
      <c r="DT25" s="361"/>
      <c r="DU25" s="361"/>
      <c r="DV25" s="361"/>
      <c r="DW25" s="361"/>
      <c r="DX25" s="361"/>
      <c r="DY25" s="361"/>
      <c r="DZ25" s="361"/>
      <c r="EA25" s="361"/>
      <c r="EB25" s="361"/>
      <c r="EC25" s="361"/>
      <c r="ED25" s="361"/>
      <c r="EE25" s="361"/>
      <c r="EF25" s="361"/>
      <c r="EG25" s="361"/>
      <c r="EH25" s="361"/>
      <c r="EI25" s="361"/>
      <c r="EJ25" s="361"/>
      <c r="EK25" s="361"/>
      <c r="EL25" s="361"/>
      <c r="EM25" s="361"/>
      <c r="EN25" s="361"/>
      <c r="EO25" s="361"/>
      <c r="EP25" s="361"/>
      <c r="EQ25" s="361"/>
      <c r="ER25" s="361"/>
      <c r="ES25" s="361"/>
      <c r="ET25" s="361"/>
      <c r="EU25" s="361"/>
      <c r="EV25" s="361"/>
      <c r="EW25" s="361"/>
      <c r="EX25" s="361"/>
      <c r="EY25" s="361"/>
      <c r="EZ25" s="361"/>
      <c r="FA25" s="361"/>
      <c r="FB25" s="361"/>
      <c r="FC25" s="361"/>
      <c r="FD25" s="361"/>
      <c r="FE25" s="361"/>
      <c r="FF25" s="361"/>
      <c r="FG25" s="361"/>
      <c r="FH25" s="361"/>
      <c r="FI25" s="361"/>
      <c r="FJ25" s="361"/>
      <c r="FK25" s="361"/>
      <c r="FL25" s="361"/>
      <c r="FM25" s="361"/>
      <c r="FN25" s="361"/>
      <c r="FO25" s="361"/>
      <c r="FP25" s="361"/>
      <c r="FQ25" s="361"/>
      <c r="FR25" s="361"/>
      <c r="FS25" s="361"/>
      <c r="FT25" s="361"/>
      <c r="FU25" s="361"/>
      <c r="FV25" s="361"/>
      <c r="FW25" s="361"/>
      <c r="FX25" s="361"/>
      <c r="FY25" s="361"/>
      <c r="FZ25" s="361"/>
      <c r="GA25" s="361"/>
      <c r="GB25" s="361"/>
      <c r="GC25" s="361"/>
      <c r="GD25" s="361"/>
      <c r="GE25" s="361"/>
      <c r="GF25" s="361"/>
      <c r="GG25" s="361"/>
      <c r="GH25" s="361"/>
      <c r="GI25" s="361"/>
      <c r="GJ25" s="361"/>
      <c r="GK25" s="361"/>
      <c r="GL25" s="361"/>
      <c r="GM25" s="361"/>
      <c r="GN25" s="361"/>
      <c r="GO25" s="361"/>
      <c r="GP25" s="361"/>
      <c r="GQ25" s="361"/>
      <c r="GR25" s="361"/>
      <c r="GS25" s="361"/>
      <c r="GT25" s="361"/>
      <c r="GU25" s="361"/>
      <c r="GV25" s="361"/>
      <c r="GW25" s="361"/>
      <c r="GX25" s="361"/>
      <c r="GY25" s="361"/>
      <c r="GZ25" s="361"/>
      <c r="HA25" s="361"/>
      <c r="HB25" s="361"/>
      <c r="HC25" s="361"/>
      <c r="HD25" s="361"/>
      <c r="HE25" s="361"/>
      <c r="HF25" s="361"/>
      <c r="HG25" s="361"/>
      <c r="HH25" s="361"/>
      <c r="HI25" s="361"/>
      <c r="HJ25" s="361"/>
      <c r="HK25" s="361"/>
      <c r="HL25" s="361"/>
      <c r="HM25" s="361"/>
      <c r="HN25" s="361"/>
      <c r="HO25" s="361"/>
      <c r="HP25" s="361"/>
      <c r="HQ25" s="361"/>
      <c r="HR25" s="361"/>
      <c r="HS25" s="361"/>
      <c r="HT25" s="361"/>
      <c r="HU25" s="361"/>
      <c r="HV25" s="361"/>
      <c r="HW25" s="361"/>
      <c r="HX25" s="361"/>
      <c r="HY25" s="361"/>
      <c r="HZ25" s="361"/>
      <c r="IA25" s="361"/>
      <c r="IB25" s="361"/>
      <c r="IC25" s="361"/>
      <c r="ID25" s="361"/>
      <c r="IE25" s="361"/>
      <c r="IF25" s="361"/>
      <c r="IG25" s="361"/>
      <c r="IH25" s="361"/>
      <c r="II25" s="361"/>
      <c r="IJ25" s="361"/>
      <c r="IK25" s="361"/>
      <c r="IL25" s="361"/>
      <c r="IM25" s="361"/>
      <c r="IN25" s="361"/>
      <c r="IO25" s="361"/>
      <c r="IP25" s="361"/>
      <c r="IQ25" s="361"/>
      <c r="IR25" s="361"/>
      <c r="IS25" s="361"/>
      <c r="IT25" s="361"/>
      <c r="IU25" s="361"/>
      <c r="IV25" s="361"/>
      <c r="IW25" s="361"/>
      <c r="IX25" s="361"/>
      <c r="IY25" s="346" t="s">
        <v>21</v>
      </c>
      <c r="IZ25" s="346"/>
      <c r="JA25" s="346"/>
      <c r="JB25" s="346"/>
      <c r="JC25" s="346"/>
      <c r="JD25" s="346"/>
      <c r="JE25" s="361"/>
    </row>
    <row r="26" spans="1:265" s="175" customFormat="1" ht="19.95" customHeight="1">
      <c r="A26" s="444"/>
      <c r="B26" s="714" t="s">
        <v>145</v>
      </c>
      <c r="C26" s="328" t="s">
        <v>71</v>
      </c>
      <c r="D26" s="719" t="s">
        <v>150</v>
      </c>
      <c r="E26" s="445">
        <f>COUNTIFS(Table1351452010[[#All],[Sales]],"คุณธวัช มีแสง",Table1351452010[[#All],[Total 
คอมฯค่าเชื่อมสัญญาณ
(3)]],"&gt;1")</f>
        <v>0</v>
      </c>
      <c r="F26" s="446">
        <f>SUMIF(Table1351452010[[#All],[Sales]],"คุณธวัช มีแสง",Table1351452010[[#All],[Total 
คอมฯค่าเชื่อมสัญญาณ
(3)]])</f>
        <v>0</v>
      </c>
      <c r="G26" s="433">
        <v>0</v>
      </c>
      <c r="H26" s="435">
        <f>F26-G26</f>
        <v>0</v>
      </c>
      <c r="I26" s="359"/>
      <c r="J26" s="359"/>
      <c r="K26" s="359"/>
      <c r="L26" s="359"/>
      <c r="M26" s="360"/>
      <c r="N26" s="361"/>
      <c r="O26" s="361"/>
      <c r="P26" s="361"/>
      <c r="Q26" s="361"/>
      <c r="R26" s="361"/>
      <c r="S26" s="361"/>
      <c r="T26" s="361"/>
      <c r="U26" s="361"/>
      <c r="V26" s="361"/>
      <c r="W26" s="361"/>
      <c r="X26" s="361"/>
      <c r="Y26" s="361"/>
      <c r="Z26" s="361"/>
      <c r="AA26" s="361"/>
      <c r="AB26" s="361"/>
      <c r="AC26" s="361"/>
      <c r="AD26" s="361"/>
      <c r="AE26" s="361"/>
      <c r="AF26" s="361"/>
      <c r="AG26" s="361"/>
      <c r="AH26" s="361"/>
      <c r="AI26" s="361"/>
      <c r="AJ26" s="361"/>
      <c r="AK26" s="361"/>
      <c r="AL26" s="361"/>
      <c r="AM26" s="361"/>
      <c r="AN26" s="361"/>
      <c r="AO26" s="361"/>
      <c r="AP26" s="361"/>
      <c r="AQ26" s="361"/>
      <c r="AR26" s="361"/>
      <c r="AS26" s="361"/>
      <c r="AT26" s="361"/>
      <c r="AU26" s="361"/>
      <c r="AV26" s="361"/>
      <c r="AW26" s="361"/>
      <c r="AX26" s="361"/>
      <c r="AY26" s="361"/>
      <c r="AZ26" s="361"/>
      <c r="BA26" s="361"/>
      <c r="BB26" s="361"/>
      <c r="BC26" s="361"/>
      <c r="BD26" s="361"/>
      <c r="BE26" s="361"/>
      <c r="BF26" s="361"/>
      <c r="BG26" s="361"/>
      <c r="BH26" s="361"/>
      <c r="BI26" s="361"/>
      <c r="BJ26" s="361"/>
      <c r="BK26" s="361"/>
      <c r="BL26" s="361"/>
      <c r="BM26" s="361"/>
      <c r="BN26" s="361"/>
      <c r="BO26" s="361"/>
      <c r="BP26" s="361"/>
      <c r="BQ26" s="361"/>
      <c r="BR26" s="361"/>
      <c r="BS26" s="361"/>
      <c r="BT26" s="361"/>
      <c r="BU26" s="361"/>
      <c r="BV26" s="361"/>
      <c r="BW26" s="361"/>
      <c r="BX26" s="361"/>
      <c r="BY26" s="361"/>
      <c r="BZ26" s="361"/>
      <c r="CA26" s="361"/>
      <c r="CB26" s="361"/>
      <c r="CC26" s="361"/>
      <c r="CD26" s="361"/>
      <c r="CE26" s="361"/>
      <c r="CF26" s="361"/>
      <c r="CG26" s="361"/>
      <c r="CH26" s="361"/>
      <c r="CI26" s="361"/>
      <c r="CJ26" s="361"/>
      <c r="CK26" s="361"/>
      <c r="CL26" s="361"/>
      <c r="CM26" s="361"/>
      <c r="CN26" s="361"/>
      <c r="CO26" s="361"/>
      <c r="CP26" s="361"/>
      <c r="CQ26" s="361"/>
      <c r="CR26" s="361"/>
      <c r="CS26" s="361"/>
      <c r="CT26" s="361"/>
      <c r="CU26" s="361"/>
      <c r="CV26" s="361"/>
      <c r="CW26" s="361"/>
      <c r="CX26" s="361"/>
      <c r="CY26" s="361"/>
      <c r="CZ26" s="361"/>
      <c r="DA26" s="361"/>
      <c r="DB26" s="361"/>
      <c r="DC26" s="361"/>
      <c r="DD26" s="361"/>
      <c r="DE26" s="361"/>
      <c r="DF26" s="361"/>
      <c r="DG26" s="361"/>
      <c r="DH26" s="361"/>
      <c r="DI26" s="361"/>
      <c r="DJ26" s="361"/>
      <c r="DK26" s="361"/>
      <c r="DL26" s="361"/>
      <c r="DM26" s="361"/>
      <c r="DN26" s="361"/>
      <c r="DO26" s="361"/>
      <c r="DP26" s="361"/>
      <c r="DQ26" s="361"/>
      <c r="DR26" s="361"/>
      <c r="DS26" s="361"/>
      <c r="DT26" s="361"/>
      <c r="DU26" s="361"/>
      <c r="DV26" s="361"/>
      <c r="DW26" s="361"/>
      <c r="DX26" s="361"/>
      <c r="DY26" s="361"/>
      <c r="DZ26" s="361"/>
      <c r="EA26" s="361"/>
      <c r="EB26" s="361"/>
      <c r="EC26" s="361"/>
      <c r="ED26" s="361"/>
      <c r="EE26" s="361"/>
      <c r="EF26" s="361"/>
      <c r="EG26" s="361"/>
      <c r="EH26" s="361"/>
      <c r="EI26" s="361"/>
      <c r="EJ26" s="361"/>
      <c r="EK26" s="361"/>
      <c r="EL26" s="361"/>
      <c r="EM26" s="361"/>
      <c r="EN26" s="361"/>
      <c r="EO26" s="361"/>
      <c r="EP26" s="361"/>
      <c r="EQ26" s="361"/>
      <c r="ER26" s="361"/>
      <c r="ES26" s="361"/>
      <c r="ET26" s="361"/>
      <c r="EU26" s="361"/>
      <c r="EV26" s="361"/>
      <c r="EW26" s="361"/>
      <c r="EX26" s="361"/>
      <c r="EY26" s="361"/>
      <c r="EZ26" s="361"/>
      <c r="FA26" s="361"/>
      <c r="FB26" s="361"/>
      <c r="FC26" s="361"/>
      <c r="FD26" s="361"/>
      <c r="FE26" s="361"/>
      <c r="FF26" s="361"/>
      <c r="FG26" s="361"/>
      <c r="FH26" s="361"/>
      <c r="FI26" s="361"/>
      <c r="FJ26" s="361"/>
      <c r="FK26" s="361"/>
      <c r="FL26" s="361"/>
      <c r="FM26" s="361"/>
      <c r="FN26" s="361"/>
      <c r="FO26" s="361"/>
      <c r="FP26" s="361"/>
      <c r="FQ26" s="361"/>
      <c r="FR26" s="361"/>
      <c r="FS26" s="361"/>
      <c r="FT26" s="361"/>
      <c r="FU26" s="361"/>
      <c r="FV26" s="361"/>
      <c r="FW26" s="361"/>
      <c r="FX26" s="361"/>
      <c r="FY26" s="361"/>
      <c r="FZ26" s="361"/>
      <c r="GA26" s="361"/>
      <c r="GB26" s="361"/>
      <c r="GC26" s="361"/>
      <c r="GD26" s="361"/>
      <c r="GE26" s="361"/>
      <c r="GF26" s="361"/>
      <c r="GG26" s="361"/>
      <c r="GH26" s="361"/>
      <c r="GI26" s="361"/>
      <c r="GJ26" s="361"/>
      <c r="GK26" s="361"/>
      <c r="GL26" s="361"/>
      <c r="GM26" s="361"/>
      <c r="GN26" s="361"/>
      <c r="GO26" s="361"/>
      <c r="GP26" s="361"/>
      <c r="GQ26" s="361"/>
      <c r="GR26" s="361"/>
      <c r="GS26" s="361"/>
      <c r="GT26" s="361"/>
      <c r="GU26" s="361"/>
      <c r="GV26" s="361"/>
      <c r="GW26" s="361"/>
      <c r="GX26" s="361"/>
      <c r="GY26" s="361"/>
      <c r="GZ26" s="361"/>
      <c r="HA26" s="361"/>
      <c r="HB26" s="361"/>
      <c r="HC26" s="361"/>
      <c r="HD26" s="361"/>
      <c r="HE26" s="361"/>
      <c r="HF26" s="361"/>
      <c r="HG26" s="361"/>
      <c r="HH26" s="361"/>
      <c r="HI26" s="361"/>
      <c r="HJ26" s="361"/>
      <c r="HK26" s="361"/>
      <c r="HL26" s="361"/>
      <c r="HM26" s="361"/>
      <c r="HN26" s="361"/>
      <c r="HO26" s="361"/>
      <c r="HP26" s="361"/>
      <c r="HQ26" s="361"/>
      <c r="HR26" s="361"/>
      <c r="HS26" s="361"/>
      <c r="HT26" s="361"/>
      <c r="HU26" s="361"/>
      <c r="HV26" s="361"/>
      <c r="HW26" s="361"/>
      <c r="HX26" s="361"/>
      <c r="HY26" s="361"/>
      <c r="HZ26" s="361"/>
      <c r="IA26" s="361"/>
      <c r="IB26" s="361"/>
      <c r="IC26" s="361"/>
      <c r="ID26" s="361"/>
      <c r="IE26" s="361"/>
      <c r="IF26" s="361"/>
      <c r="IG26" s="361"/>
      <c r="IH26" s="361"/>
      <c r="II26" s="361"/>
      <c r="IJ26" s="361"/>
      <c r="IK26" s="361"/>
      <c r="IL26" s="361"/>
      <c r="IM26" s="361"/>
      <c r="IN26" s="361"/>
      <c r="IO26" s="361"/>
      <c r="IP26" s="361"/>
      <c r="IQ26" s="361"/>
      <c r="IR26" s="361"/>
      <c r="IS26" s="361"/>
      <c r="IT26" s="361"/>
      <c r="IU26" s="361"/>
      <c r="IV26" s="361"/>
      <c r="IW26" s="361"/>
      <c r="IX26" s="361"/>
      <c r="IY26" s="381" t="s">
        <v>181</v>
      </c>
      <c r="IZ26" s="381"/>
      <c r="JA26" s="381"/>
      <c r="JB26" s="381"/>
      <c r="JC26" s="381"/>
      <c r="JD26" s="381"/>
      <c r="JE26" s="361"/>
    </row>
    <row r="27" spans="1:265" s="175" customFormat="1" ht="19.95" customHeight="1">
      <c r="A27" s="444"/>
      <c r="B27" s="715"/>
      <c r="C27" s="328" t="s">
        <v>73</v>
      </c>
      <c r="D27" s="336"/>
      <c r="E27" s="445">
        <f>COUNTIFS(Table1351452010[[#All],[Sales]],"คุณนิยนต์ อยู่ทะเล",Table1351452010[[#All],[Total 
คอมฯค่าเชื่อมสัญญาณ
(3)]],"&gt;1")</f>
        <v>0</v>
      </c>
      <c r="F27" s="446">
        <f>SUMIF(Table1351452010[[#All],[Sales]],"คุณแดง มูลสองแคว",Table1351452010[[#All],[Total 
คอมฯค่าเชื่อมสัญญาณ
(3)]])</f>
        <v>0</v>
      </c>
      <c r="G27" s="433">
        <v>0</v>
      </c>
      <c r="H27" s="435">
        <f>F27-G27</f>
        <v>0</v>
      </c>
      <c r="I27" s="359"/>
      <c r="J27" s="359"/>
      <c r="K27" s="359"/>
      <c r="L27" s="359"/>
      <c r="M27" s="360"/>
      <c r="N27" s="361"/>
      <c r="O27" s="361"/>
      <c r="P27" s="361"/>
      <c r="Q27" s="361"/>
      <c r="R27" s="361"/>
      <c r="S27" s="361"/>
      <c r="T27" s="361"/>
      <c r="U27" s="361"/>
      <c r="V27" s="361"/>
      <c r="W27" s="361"/>
      <c r="X27" s="361"/>
      <c r="Y27" s="361"/>
      <c r="Z27" s="361"/>
      <c r="AA27" s="361"/>
      <c r="AB27" s="361"/>
      <c r="AC27" s="361"/>
      <c r="AD27" s="361"/>
      <c r="AE27" s="361"/>
      <c r="AF27" s="361"/>
      <c r="AG27" s="361"/>
      <c r="AH27" s="361"/>
      <c r="AI27" s="361"/>
      <c r="AJ27" s="361"/>
      <c r="AK27" s="361"/>
      <c r="AL27" s="361"/>
      <c r="AM27" s="361"/>
      <c r="AN27" s="361"/>
      <c r="AO27" s="361"/>
      <c r="AP27" s="361"/>
      <c r="AQ27" s="361"/>
      <c r="AR27" s="361"/>
      <c r="AS27" s="361"/>
      <c r="AT27" s="361"/>
      <c r="AU27" s="361"/>
      <c r="AV27" s="361"/>
      <c r="AW27" s="361"/>
      <c r="AX27" s="361"/>
      <c r="AY27" s="361"/>
      <c r="AZ27" s="361"/>
      <c r="BA27" s="361"/>
      <c r="BB27" s="361"/>
      <c r="BC27" s="361"/>
      <c r="BD27" s="361"/>
      <c r="BE27" s="361"/>
      <c r="BF27" s="361"/>
      <c r="BG27" s="361"/>
      <c r="BH27" s="361"/>
      <c r="BI27" s="361"/>
      <c r="BJ27" s="361"/>
      <c r="BK27" s="361"/>
      <c r="BL27" s="361"/>
      <c r="BM27" s="361"/>
      <c r="BN27" s="361"/>
      <c r="BO27" s="361"/>
      <c r="BP27" s="361"/>
      <c r="BQ27" s="361"/>
      <c r="BR27" s="361"/>
      <c r="BS27" s="361"/>
      <c r="BT27" s="361"/>
      <c r="BU27" s="361"/>
      <c r="BV27" s="361"/>
      <c r="BW27" s="361"/>
      <c r="BX27" s="361"/>
      <c r="BY27" s="361"/>
      <c r="BZ27" s="361"/>
      <c r="CA27" s="361"/>
      <c r="CB27" s="361"/>
      <c r="CC27" s="361"/>
      <c r="CD27" s="361"/>
      <c r="CE27" s="361"/>
      <c r="CF27" s="361"/>
      <c r="CG27" s="361"/>
      <c r="CH27" s="361"/>
      <c r="CI27" s="361"/>
      <c r="CJ27" s="361"/>
      <c r="CK27" s="361"/>
      <c r="CL27" s="361"/>
      <c r="CM27" s="361"/>
      <c r="CN27" s="361"/>
      <c r="CO27" s="361"/>
      <c r="CP27" s="361"/>
      <c r="CQ27" s="361"/>
      <c r="CR27" s="361"/>
      <c r="CS27" s="361"/>
      <c r="CT27" s="361"/>
      <c r="CU27" s="361"/>
      <c r="CV27" s="361"/>
      <c r="CW27" s="361"/>
      <c r="CX27" s="361"/>
      <c r="CY27" s="361"/>
      <c r="CZ27" s="361"/>
      <c r="DA27" s="361"/>
      <c r="DB27" s="361"/>
      <c r="DC27" s="361"/>
      <c r="DD27" s="361"/>
      <c r="DE27" s="361"/>
      <c r="DF27" s="361"/>
      <c r="DG27" s="361"/>
      <c r="DH27" s="361"/>
      <c r="DI27" s="361"/>
      <c r="DJ27" s="361"/>
      <c r="DK27" s="361"/>
      <c r="DL27" s="361"/>
      <c r="DM27" s="361"/>
      <c r="DN27" s="361"/>
      <c r="DO27" s="361"/>
      <c r="DP27" s="361"/>
      <c r="DQ27" s="361"/>
      <c r="DR27" s="361"/>
      <c r="DS27" s="361"/>
      <c r="DT27" s="361"/>
      <c r="DU27" s="361"/>
      <c r="DV27" s="361"/>
      <c r="DW27" s="361"/>
      <c r="DX27" s="361"/>
      <c r="DY27" s="361"/>
      <c r="DZ27" s="361"/>
      <c r="EA27" s="361"/>
      <c r="EB27" s="361"/>
      <c r="EC27" s="361"/>
      <c r="ED27" s="361"/>
      <c r="EE27" s="361"/>
      <c r="EF27" s="361"/>
      <c r="EG27" s="361"/>
      <c r="EH27" s="361"/>
      <c r="EI27" s="361"/>
      <c r="EJ27" s="361"/>
      <c r="EK27" s="361"/>
      <c r="EL27" s="361"/>
      <c r="EM27" s="361"/>
      <c r="EN27" s="361"/>
      <c r="EO27" s="361"/>
      <c r="EP27" s="361"/>
      <c r="EQ27" s="361"/>
      <c r="ER27" s="361"/>
      <c r="ES27" s="361"/>
      <c r="ET27" s="361"/>
      <c r="EU27" s="361"/>
      <c r="EV27" s="361"/>
      <c r="EW27" s="361"/>
      <c r="EX27" s="361"/>
      <c r="EY27" s="361"/>
      <c r="EZ27" s="361"/>
      <c r="FA27" s="361"/>
      <c r="FB27" s="361"/>
      <c r="FC27" s="361"/>
      <c r="FD27" s="361"/>
      <c r="FE27" s="361"/>
      <c r="FF27" s="361"/>
      <c r="FG27" s="361"/>
      <c r="FH27" s="361"/>
      <c r="FI27" s="361"/>
      <c r="FJ27" s="361"/>
      <c r="FK27" s="361"/>
      <c r="FL27" s="361"/>
      <c r="FM27" s="361"/>
      <c r="FN27" s="361"/>
      <c r="FO27" s="361"/>
      <c r="FP27" s="361"/>
      <c r="FQ27" s="361"/>
      <c r="FR27" s="361"/>
      <c r="FS27" s="361"/>
      <c r="FT27" s="361"/>
      <c r="FU27" s="361"/>
      <c r="FV27" s="361"/>
      <c r="FW27" s="361"/>
      <c r="FX27" s="361"/>
      <c r="FY27" s="361"/>
      <c r="FZ27" s="361"/>
      <c r="GA27" s="361"/>
      <c r="GB27" s="361"/>
      <c r="GC27" s="361"/>
      <c r="GD27" s="361"/>
      <c r="GE27" s="361"/>
      <c r="GF27" s="361"/>
      <c r="GG27" s="361"/>
      <c r="GH27" s="361"/>
      <c r="GI27" s="361"/>
      <c r="GJ27" s="361"/>
      <c r="GK27" s="361"/>
      <c r="GL27" s="361"/>
      <c r="GM27" s="361"/>
      <c r="GN27" s="361"/>
      <c r="GO27" s="361"/>
      <c r="GP27" s="361"/>
      <c r="GQ27" s="361"/>
      <c r="GR27" s="361"/>
      <c r="GS27" s="361"/>
      <c r="GT27" s="361"/>
      <c r="GU27" s="361"/>
      <c r="GV27" s="361"/>
      <c r="GW27" s="361"/>
      <c r="GX27" s="361"/>
      <c r="GY27" s="361"/>
      <c r="GZ27" s="361"/>
      <c r="HA27" s="361"/>
      <c r="HB27" s="361"/>
      <c r="HC27" s="361"/>
      <c r="HD27" s="361"/>
      <c r="HE27" s="361"/>
      <c r="HF27" s="361"/>
      <c r="HG27" s="361"/>
      <c r="HH27" s="361"/>
      <c r="HI27" s="361"/>
      <c r="HJ27" s="361"/>
      <c r="HK27" s="361"/>
      <c r="HL27" s="361"/>
      <c r="HM27" s="361"/>
      <c r="HN27" s="361"/>
      <c r="HO27" s="361"/>
      <c r="HP27" s="361"/>
      <c r="HQ27" s="361"/>
      <c r="HR27" s="361"/>
      <c r="HS27" s="361"/>
      <c r="HT27" s="361"/>
      <c r="HU27" s="361"/>
      <c r="HV27" s="361"/>
      <c r="HW27" s="361"/>
      <c r="HX27" s="361"/>
      <c r="HY27" s="361"/>
      <c r="HZ27" s="361"/>
      <c r="IA27" s="361"/>
      <c r="IB27" s="361"/>
      <c r="IC27" s="361"/>
      <c r="ID27" s="361"/>
      <c r="IE27" s="361"/>
      <c r="IF27" s="361"/>
      <c r="IG27" s="361"/>
      <c r="IH27" s="361"/>
      <c r="II27" s="361"/>
      <c r="IJ27" s="361"/>
      <c r="IK27" s="361"/>
      <c r="IL27" s="361"/>
      <c r="IM27" s="361"/>
      <c r="IN27" s="361"/>
      <c r="IO27" s="361"/>
      <c r="IP27" s="361"/>
      <c r="IQ27" s="361"/>
      <c r="IR27" s="361"/>
      <c r="IS27" s="361"/>
      <c r="IT27" s="361"/>
      <c r="IU27" s="361"/>
      <c r="IV27" s="361"/>
      <c r="IW27" s="361"/>
      <c r="IX27" s="361"/>
      <c r="IY27" s="346" t="s">
        <v>70</v>
      </c>
      <c r="IZ27" s="346"/>
      <c r="JA27" s="346"/>
      <c r="JB27" s="346"/>
      <c r="JC27" s="346"/>
      <c r="JD27" s="346"/>
      <c r="JE27" s="361"/>
    </row>
    <row r="28" spans="1:265" s="175" customFormat="1" ht="19.95" customHeight="1">
      <c r="A28" s="444"/>
      <c r="B28" s="715"/>
      <c r="C28" s="328" t="s">
        <v>74</v>
      </c>
      <c r="D28" s="336"/>
      <c r="E28" s="445">
        <f>COUNTIFS(Table1351452010[[#All],[Sales]],"คุณจินตนา อ้อยหวาน",Table1351452010[[#All],[Total 
คอมฯค่าเชื่อมสัญญาณ
(3)]],"&gt;1")</f>
        <v>0</v>
      </c>
      <c r="F28" s="446">
        <f>SUMIF(Table1351452010[[#All],[Sales]],"คุณจินตนา อ้อยหวาน",Table1351452010[[#All],[Total 
คอมฯค่าเชื่อมสัญญาณ
(3)]])</f>
        <v>0</v>
      </c>
      <c r="G28" s="433">
        <v>0</v>
      </c>
      <c r="H28" s="435">
        <f t="shared" ref="H28:H34" si="3">F28-G28</f>
        <v>0</v>
      </c>
      <c r="I28" s="359"/>
      <c r="J28" s="359"/>
      <c r="K28" s="359"/>
      <c r="L28" s="359"/>
      <c r="M28" s="360"/>
      <c r="N28" s="361"/>
      <c r="O28" s="361"/>
      <c r="P28" s="361"/>
      <c r="Q28" s="361"/>
      <c r="R28" s="361"/>
      <c r="S28" s="361"/>
      <c r="T28" s="361"/>
      <c r="U28" s="361"/>
      <c r="V28" s="361"/>
      <c r="W28" s="361"/>
      <c r="X28" s="361"/>
      <c r="Y28" s="361"/>
      <c r="Z28" s="361"/>
      <c r="AA28" s="361"/>
      <c r="AB28" s="361"/>
      <c r="AC28" s="361"/>
      <c r="AD28" s="361"/>
      <c r="AE28" s="361"/>
      <c r="AF28" s="361"/>
      <c r="AG28" s="361"/>
      <c r="AH28" s="361"/>
      <c r="AI28" s="361"/>
      <c r="AJ28" s="361"/>
      <c r="AK28" s="361"/>
      <c r="AL28" s="361"/>
      <c r="AM28" s="361"/>
      <c r="AN28" s="361"/>
      <c r="AO28" s="361"/>
      <c r="AP28" s="361"/>
      <c r="AQ28" s="361"/>
      <c r="AR28" s="361"/>
      <c r="AS28" s="361"/>
      <c r="AT28" s="361"/>
      <c r="AU28" s="361"/>
      <c r="AV28" s="361"/>
      <c r="AW28" s="361"/>
      <c r="AX28" s="361"/>
      <c r="AY28" s="361"/>
      <c r="AZ28" s="361"/>
      <c r="BA28" s="361"/>
      <c r="BB28" s="361"/>
      <c r="BC28" s="361"/>
      <c r="BD28" s="361"/>
      <c r="BE28" s="361"/>
      <c r="BF28" s="361"/>
      <c r="BG28" s="361"/>
      <c r="BH28" s="361"/>
      <c r="BI28" s="361"/>
      <c r="BJ28" s="361"/>
      <c r="BK28" s="361"/>
      <c r="BL28" s="361"/>
      <c r="BM28" s="361"/>
      <c r="BN28" s="361"/>
      <c r="BO28" s="361"/>
      <c r="BP28" s="361"/>
      <c r="BQ28" s="361"/>
      <c r="BR28" s="361"/>
      <c r="BS28" s="361"/>
      <c r="BT28" s="361"/>
      <c r="BU28" s="361"/>
      <c r="BV28" s="361"/>
      <c r="BW28" s="361"/>
      <c r="BX28" s="361"/>
      <c r="BY28" s="361"/>
      <c r="BZ28" s="361"/>
      <c r="CA28" s="361"/>
      <c r="CB28" s="361"/>
      <c r="CC28" s="361"/>
      <c r="CD28" s="361"/>
      <c r="CE28" s="361"/>
      <c r="CF28" s="361"/>
      <c r="CG28" s="361"/>
      <c r="CH28" s="361"/>
      <c r="CI28" s="361"/>
      <c r="CJ28" s="361"/>
      <c r="CK28" s="361"/>
      <c r="CL28" s="361"/>
      <c r="CM28" s="361"/>
      <c r="CN28" s="361"/>
      <c r="CO28" s="361"/>
      <c r="CP28" s="361"/>
      <c r="CQ28" s="361"/>
      <c r="CR28" s="361"/>
      <c r="CS28" s="361"/>
      <c r="CT28" s="361"/>
      <c r="CU28" s="361"/>
      <c r="CV28" s="361"/>
      <c r="CW28" s="361"/>
      <c r="CX28" s="361"/>
      <c r="CY28" s="361"/>
      <c r="CZ28" s="361"/>
      <c r="DA28" s="361"/>
      <c r="DB28" s="361"/>
      <c r="DC28" s="361"/>
      <c r="DD28" s="361"/>
      <c r="DE28" s="361"/>
      <c r="DF28" s="361"/>
      <c r="DG28" s="361"/>
      <c r="DH28" s="361"/>
      <c r="DI28" s="361"/>
      <c r="DJ28" s="361"/>
      <c r="DK28" s="361"/>
      <c r="DL28" s="361"/>
      <c r="DM28" s="361"/>
      <c r="DN28" s="361"/>
      <c r="DO28" s="361"/>
      <c r="DP28" s="361"/>
      <c r="DQ28" s="361"/>
      <c r="DR28" s="361"/>
      <c r="DS28" s="361"/>
      <c r="DT28" s="361"/>
      <c r="DU28" s="361"/>
      <c r="DV28" s="361"/>
      <c r="DW28" s="361"/>
      <c r="DX28" s="361"/>
      <c r="DY28" s="361"/>
      <c r="DZ28" s="361"/>
      <c r="EA28" s="361"/>
      <c r="EB28" s="361"/>
      <c r="EC28" s="361"/>
      <c r="ED28" s="361"/>
      <c r="EE28" s="361"/>
      <c r="EF28" s="361"/>
      <c r="EG28" s="361"/>
      <c r="EH28" s="361"/>
      <c r="EI28" s="361"/>
      <c r="EJ28" s="361"/>
      <c r="EK28" s="361"/>
      <c r="EL28" s="361"/>
      <c r="EM28" s="361"/>
      <c r="EN28" s="361"/>
      <c r="EO28" s="361"/>
      <c r="EP28" s="361"/>
      <c r="EQ28" s="361"/>
      <c r="ER28" s="361"/>
      <c r="ES28" s="361"/>
      <c r="ET28" s="361"/>
      <c r="EU28" s="361"/>
      <c r="EV28" s="361"/>
      <c r="EW28" s="361"/>
      <c r="EX28" s="361"/>
      <c r="EY28" s="361"/>
      <c r="EZ28" s="361"/>
      <c r="FA28" s="361"/>
      <c r="FB28" s="361"/>
      <c r="FC28" s="361"/>
      <c r="FD28" s="361"/>
      <c r="FE28" s="361"/>
      <c r="FF28" s="361"/>
      <c r="FG28" s="361"/>
      <c r="FH28" s="361"/>
      <c r="FI28" s="361"/>
      <c r="FJ28" s="361"/>
      <c r="FK28" s="361"/>
      <c r="FL28" s="361"/>
      <c r="FM28" s="361"/>
      <c r="FN28" s="361"/>
      <c r="FO28" s="361"/>
      <c r="FP28" s="361"/>
      <c r="FQ28" s="361"/>
      <c r="FR28" s="361"/>
      <c r="FS28" s="361"/>
      <c r="FT28" s="361"/>
      <c r="FU28" s="361"/>
      <c r="FV28" s="361"/>
      <c r="FW28" s="361"/>
      <c r="FX28" s="361"/>
      <c r="FY28" s="361"/>
      <c r="FZ28" s="361"/>
      <c r="GA28" s="361"/>
      <c r="GB28" s="361"/>
      <c r="GC28" s="361"/>
      <c r="GD28" s="361"/>
      <c r="GE28" s="361"/>
      <c r="GF28" s="361"/>
      <c r="GG28" s="361"/>
      <c r="GH28" s="361"/>
      <c r="GI28" s="361"/>
      <c r="GJ28" s="361"/>
      <c r="GK28" s="361"/>
      <c r="GL28" s="361"/>
      <c r="GM28" s="361"/>
      <c r="GN28" s="361"/>
      <c r="GO28" s="361"/>
      <c r="GP28" s="361"/>
      <c r="GQ28" s="361"/>
      <c r="GR28" s="361"/>
      <c r="GS28" s="361"/>
      <c r="GT28" s="361"/>
      <c r="GU28" s="361"/>
      <c r="GV28" s="361"/>
      <c r="GW28" s="361"/>
      <c r="GX28" s="361"/>
      <c r="GY28" s="361"/>
      <c r="GZ28" s="361"/>
      <c r="HA28" s="361"/>
      <c r="HB28" s="361"/>
      <c r="HC28" s="361"/>
      <c r="HD28" s="361"/>
      <c r="HE28" s="361"/>
      <c r="HF28" s="361"/>
      <c r="HG28" s="361"/>
      <c r="HH28" s="361"/>
      <c r="HI28" s="361"/>
      <c r="HJ28" s="361"/>
      <c r="HK28" s="361"/>
      <c r="HL28" s="361"/>
      <c r="HM28" s="361"/>
      <c r="HN28" s="361"/>
      <c r="HO28" s="361"/>
      <c r="HP28" s="361"/>
      <c r="HQ28" s="361"/>
      <c r="HR28" s="361"/>
      <c r="HS28" s="361"/>
      <c r="HT28" s="361"/>
      <c r="HU28" s="361"/>
      <c r="HV28" s="361"/>
      <c r="HW28" s="361"/>
      <c r="HX28" s="361"/>
      <c r="HY28" s="361"/>
      <c r="HZ28" s="361"/>
      <c r="IA28" s="361"/>
      <c r="IB28" s="361"/>
      <c r="IC28" s="361"/>
      <c r="ID28" s="361"/>
      <c r="IE28" s="361"/>
      <c r="IF28" s="361"/>
      <c r="IG28" s="361"/>
      <c r="IH28" s="361"/>
      <c r="II28" s="361"/>
      <c r="IJ28" s="361"/>
      <c r="IK28" s="361"/>
      <c r="IL28" s="361"/>
      <c r="IM28" s="361"/>
      <c r="IN28" s="361"/>
      <c r="IO28" s="361"/>
      <c r="IP28" s="361"/>
      <c r="IQ28" s="361"/>
      <c r="IR28" s="361"/>
      <c r="IS28" s="361"/>
      <c r="IT28" s="361"/>
      <c r="IU28" s="361"/>
      <c r="IV28" s="361"/>
      <c r="IW28" s="361"/>
      <c r="IX28" s="361"/>
      <c r="IY28" s="346" t="s">
        <v>71</v>
      </c>
      <c r="IZ28" s="346"/>
      <c r="JA28" s="346"/>
      <c r="JB28" s="346"/>
      <c r="JC28" s="346"/>
      <c r="JD28" s="346"/>
      <c r="JE28" s="361"/>
    </row>
    <row r="29" spans="1:265" s="175" customFormat="1" ht="19.95" customHeight="1">
      <c r="A29" s="444"/>
      <c r="B29" s="715"/>
      <c r="C29" s="328" t="s">
        <v>75</v>
      </c>
      <c r="D29" s="336"/>
      <c r="E29" s="445">
        <f>COUNTIFS(Table1351452010[[#All],[Sales]],"คุณพัชรพรรณ พึ่งพา",Table1351452010[[#All],[Total 
คอมฯค่าเชื่อมสัญญาณ
(3)]],"&gt;1")</f>
        <v>0</v>
      </c>
      <c r="F29" s="446">
        <f>SUMIF(Table1351452010[[#All],[Sales]],"คุณพัชรพรรณ พึ่งพา",Table1351452010[[#All],[Total 
คอมฯค่าเชื่อมสัญญาณ
(3)]])</f>
        <v>0</v>
      </c>
      <c r="G29" s="433">
        <v>0</v>
      </c>
      <c r="H29" s="435">
        <f t="shared" si="3"/>
        <v>0</v>
      </c>
      <c r="I29" s="359"/>
      <c r="J29" s="359"/>
      <c r="K29" s="359"/>
      <c r="L29" s="359"/>
      <c r="M29" s="360"/>
      <c r="N29" s="361"/>
      <c r="O29" s="361"/>
      <c r="P29" s="361"/>
      <c r="Q29" s="361"/>
      <c r="R29" s="361"/>
      <c r="S29" s="361"/>
      <c r="T29" s="361"/>
      <c r="U29" s="361"/>
      <c r="V29" s="361"/>
      <c r="W29" s="361"/>
      <c r="X29" s="361"/>
      <c r="Y29" s="361"/>
      <c r="Z29" s="361"/>
      <c r="AA29" s="361"/>
      <c r="AB29" s="361"/>
      <c r="AC29" s="361"/>
      <c r="AD29" s="361"/>
      <c r="AE29" s="361"/>
      <c r="AF29" s="361"/>
      <c r="AG29" s="361"/>
      <c r="AH29" s="361"/>
      <c r="AI29" s="361"/>
      <c r="AJ29" s="361"/>
      <c r="AK29" s="361"/>
      <c r="AL29" s="361"/>
      <c r="AM29" s="361"/>
      <c r="AN29" s="361"/>
      <c r="AO29" s="361"/>
      <c r="AP29" s="361"/>
      <c r="AQ29" s="361"/>
      <c r="AR29" s="361"/>
      <c r="AS29" s="361"/>
      <c r="AT29" s="361"/>
      <c r="AU29" s="361"/>
      <c r="AV29" s="361"/>
      <c r="AW29" s="361"/>
      <c r="AX29" s="361"/>
      <c r="AY29" s="361"/>
      <c r="AZ29" s="361"/>
      <c r="BA29" s="361"/>
      <c r="BB29" s="361"/>
      <c r="BC29" s="361"/>
      <c r="BD29" s="361"/>
      <c r="BE29" s="361"/>
      <c r="BF29" s="361"/>
      <c r="BG29" s="361"/>
      <c r="BH29" s="361"/>
      <c r="BI29" s="361"/>
      <c r="BJ29" s="361"/>
      <c r="BK29" s="361"/>
      <c r="BL29" s="361"/>
      <c r="BM29" s="361"/>
      <c r="BN29" s="361"/>
      <c r="BO29" s="361"/>
      <c r="BP29" s="361"/>
      <c r="BQ29" s="361"/>
      <c r="BR29" s="361"/>
      <c r="BS29" s="361"/>
      <c r="BT29" s="361"/>
      <c r="BU29" s="361"/>
      <c r="BV29" s="361"/>
      <c r="BW29" s="361"/>
      <c r="BX29" s="361"/>
      <c r="BY29" s="361"/>
      <c r="BZ29" s="361"/>
      <c r="CA29" s="361"/>
      <c r="CB29" s="361"/>
      <c r="CC29" s="361"/>
      <c r="CD29" s="361"/>
      <c r="CE29" s="361"/>
      <c r="CF29" s="361"/>
      <c r="CG29" s="361"/>
      <c r="CH29" s="361"/>
      <c r="CI29" s="361"/>
      <c r="CJ29" s="361"/>
      <c r="CK29" s="361"/>
      <c r="CL29" s="361"/>
      <c r="CM29" s="361"/>
      <c r="CN29" s="361"/>
      <c r="CO29" s="361"/>
      <c r="CP29" s="361"/>
      <c r="CQ29" s="361"/>
      <c r="CR29" s="361"/>
      <c r="CS29" s="361"/>
      <c r="CT29" s="361"/>
      <c r="CU29" s="361"/>
      <c r="CV29" s="361"/>
      <c r="CW29" s="361"/>
      <c r="CX29" s="361"/>
      <c r="CY29" s="361"/>
      <c r="CZ29" s="361"/>
      <c r="DA29" s="361"/>
      <c r="DB29" s="361"/>
      <c r="DC29" s="361"/>
      <c r="DD29" s="361"/>
      <c r="DE29" s="361"/>
      <c r="DF29" s="361"/>
      <c r="DG29" s="361"/>
      <c r="DH29" s="361"/>
      <c r="DI29" s="361"/>
      <c r="DJ29" s="361"/>
      <c r="DK29" s="361"/>
      <c r="DL29" s="361"/>
      <c r="DM29" s="361"/>
      <c r="DN29" s="361"/>
      <c r="DO29" s="361"/>
      <c r="DP29" s="361"/>
      <c r="DQ29" s="361"/>
      <c r="DR29" s="361"/>
      <c r="DS29" s="361"/>
      <c r="DT29" s="361"/>
      <c r="DU29" s="361"/>
      <c r="DV29" s="361"/>
      <c r="DW29" s="361"/>
      <c r="DX29" s="361"/>
      <c r="DY29" s="361"/>
      <c r="DZ29" s="361"/>
      <c r="EA29" s="361"/>
      <c r="EB29" s="361"/>
      <c r="EC29" s="361"/>
      <c r="ED29" s="361"/>
      <c r="EE29" s="361"/>
      <c r="EF29" s="361"/>
      <c r="EG29" s="361"/>
      <c r="EH29" s="361"/>
      <c r="EI29" s="361"/>
      <c r="EJ29" s="361"/>
      <c r="EK29" s="361"/>
      <c r="EL29" s="361"/>
      <c r="EM29" s="361"/>
      <c r="EN29" s="361"/>
      <c r="EO29" s="361"/>
      <c r="EP29" s="361"/>
      <c r="EQ29" s="361"/>
      <c r="ER29" s="361"/>
      <c r="ES29" s="361"/>
      <c r="ET29" s="361"/>
      <c r="EU29" s="361"/>
      <c r="EV29" s="361"/>
      <c r="EW29" s="361"/>
      <c r="EX29" s="361"/>
      <c r="EY29" s="361"/>
      <c r="EZ29" s="361"/>
      <c r="FA29" s="361"/>
      <c r="FB29" s="361"/>
      <c r="FC29" s="361"/>
      <c r="FD29" s="361"/>
      <c r="FE29" s="361"/>
      <c r="FF29" s="361"/>
      <c r="FG29" s="361"/>
      <c r="FH29" s="361"/>
      <c r="FI29" s="361"/>
      <c r="FJ29" s="361"/>
      <c r="FK29" s="361"/>
      <c r="FL29" s="361"/>
      <c r="FM29" s="361"/>
      <c r="FN29" s="361"/>
      <c r="FO29" s="361"/>
      <c r="FP29" s="361"/>
      <c r="FQ29" s="361"/>
      <c r="FR29" s="361"/>
      <c r="FS29" s="361"/>
      <c r="FT29" s="361"/>
      <c r="FU29" s="361"/>
      <c r="FV29" s="361"/>
      <c r="FW29" s="361"/>
      <c r="FX29" s="361"/>
      <c r="FY29" s="361"/>
      <c r="FZ29" s="361"/>
      <c r="GA29" s="361"/>
      <c r="GB29" s="361"/>
      <c r="GC29" s="361"/>
      <c r="GD29" s="361"/>
      <c r="GE29" s="361"/>
      <c r="GF29" s="361"/>
      <c r="GG29" s="361"/>
      <c r="GH29" s="361"/>
      <c r="GI29" s="361"/>
      <c r="GJ29" s="361"/>
      <c r="GK29" s="361"/>
      <c r="GL29" s="361"/>
      <c r="GM29" s="361"/>
      <c r="GN29" s="361"/>
      <c r="GO29" s="361"/>
      <c r="GP29" s="361"/>
      <c r="GQ29" s="361"/>
      <c r="GR29" s="361"/>
      <c r="GS29" s="361"/>
      <c r="GT29" s="361"/>
      <c r="GU29" s="361"/>
      <c r="GV29" s="361"/>
      <c r="GW29" s="361"/>
      <c r="GX29" s="361"/>
      <c r="GY29" s="361"/>
      <c r="GZ29" s="361"/>
      <c r="HA29" s="361"/>
      <c r="HB29" s="361"/>
      <c r="HC29" s="361"/>
      <c r="HD29" s="361"/>
      <c r="HE29" s="361"/>
      <c r="HF29" s="361"/>
      <c r="HG29" s="361"/>
      <c r="HH29" s="361"/>
      <c r="HI29" s="361"/>
      <c r="HJ29" s="361"/>
      <c r="HK29" s="361"/>
      <c r="HL29" s="361"/>
      <c r="HM29" s="361"/>
      <c r="HN29" s="361"/>
      <c r="HO29" s="361"/>
      <c r="HP29" s="361"/>
      <c r="HQ29" s="361"/>
      <c r="HR29" s="361"/>
      <c r="HS29" s="361"/>
      <c r="HT29" s="361"/>
      <c r="HU29" s="361"/>
      <c r="HV29" s="361"/>
      <c r="HW29" s="361"/>
      <c r="HX29" s="361"/>
      <c r="HY29" s="361"/>
      <c r="HZ29" s="361"/>
      <c r="IA29" s="361"/>
      <c r="IB29" s="361"/>
      <c r="IC29" s="361"/>
      <c r="ID29" s="361"/>
      <c r="IE29" s="361"/>
      <c r="IF29" s="361"/>
      <c r="IG29" s="361"/>
      <c r="IH29" s="361"/>
      <c r="II29" s="361"/>
      <c r="IJ29" s="361"/>
      <c r="IK29" s="361"/>
      <c r="IL29" s="361"/>
      <c r="IM29" s="361"/>
      <c r="IN29" s="361"/>
      <c r="IO29" s="361"/>
      <c r="IP29" s="361"/>
      <c r="IQ29" s="361"/>
      <c r="IR29" s="361"/>
      <c r="IS29" s="361"/>
      <c r="IT29" s="361"/>
      <c r="IU29" s="361"/>
      <c r="IV29" s="361"/>
      <c r="IW29" s="361"/>
      <c r="IX29" s="361"/>
      <c r="IY29" s="346" t="s">
        <v>73</v>
      </c>
      <c r="IZ29" s="346"/>
      <c r="JA29" s="346"/>
      <c r="JB29" s="346"/>
      <c r="JC29" s="346"/>
      <c r="JD29" s="346"/>
      <c r="JE29" s="361"/>
    </row>
    <row r="30" spans="1:265" s="175" customFormat="1" ht="19.95" customHeight="1">
      <c r="A30" s="444"/>
      <c r="B30" s="715"/>
      <c r="C30" s="328" t="s">
        <v>152</v>
      </c>
      <c r="D30" s="336"/>
      <c r="E30" s="445">
        <f>COUNTIFS(Table1351452010[[#All],[Sales]],"คุณนรินทร์ ปิงมูล",Table1351452010[[#All],[Total 
คอมฯค่าเชื่อมสัญญาณ
(3)]],"&gt;1")</f>
        <v>0</v>
      </c>
      <c r="F30" s="446">
        <f>SUMIF(Table1351452010[[#All],[Sales]],"คุณนรินทร์ ปิงมูล",Table1351452010[[#All],[Total 
คอมฯค่าเชื่อมสัญญาณ
(3)]])</f>
        <v>0</v>
      </c>
      <c r="G30" s="433">
        <v>0</v>
      </c>
      <c r="H30" s="435">
        <f t="shared" si="3"/>
        <v>0</v>
      </c>
      <c r="I30" s="359"/>
      <c r="J30" s="359"/>
      <c r="K30" s="359"/>
      <c r="L30" s="359"/>
      <c r="M30" s="360"/>
      <c r="N30" s="361"/>
      <c r="O30" s="361"/>
      <c r="P30" s="361"/>
      <c r="Q30" s="361"/>
      <c r="R30" s="361"/>
      <c r="S30" s="361"/>
      <c r="T30" s="361"/>
      <c r="U30" s="361"/>
      <c r="V30" s="361"/>
      <c r="W30" s="361"/>
      <c r="X30" s="361"/>
      <c r="Y30" s="361"/>
      <c r="Z30" s="361"/>
      <c r="AA30" s="361"/>
      <c r="AB30" s="361"/>
      <c r="AC30" s="361"/>
      <c r="AD30" s="361"/>
      <c r="AE30" s="361"/>
      <c r="AF30" s="361"/>
      <c r="AG30" s="361"/>
      <c r="AH30" s="361"/>
      <c r="AI30" s="361"/>
      <c r="AJ30" s="361"/>
      <c r="AK30" s="361"/>
      <c r="AL30" s="361"/>
      <c r="AM30" s="361"/>
      <c r="AN30" s="361"/>
      <c r="AO30" s="361"/>
      <c r="AP30" s="361"/>
      <c r="AQ30" s="361"/>
      <c r="AR30" s="361"/>
      <c r="AS30" s="361"/>
      <c r="AT30" s="361"/>
      <c r="AU30" s="361"/>
      <c r="AV30" s="361"/>
      <c r="AW30" s="361"/>
      <c r="AX30" s="361"/>
      <c r="AY30" s="361"/>
      <c r="AZ30" s="361"/>
      <c r="BA30" s="361"/>
      <c r="BB30" s="361"/>
      <c r="BC30" s="361"/>
      <c r="BD30" s="361"/>
      <c r="BE30" s="361"/>
      <c r="BF30" s="361"/>
      <c r="BG30" s="361"/>
      <c r="BH30" s="361"/>
      <c r="BI30" s="361"/>
      <c r="BJ30" s="361"/>
      <c r="BK30" s="361"/>
      <c r="BL30" s="361"/>
      <c r="BM30" s="361"/>
      <c r="BN30" s="361"/>
      <c r="BO30" s="361"/>
      <c r="BP30" s="361"/>
      <c r="BQ30" s="361"/>
      <c r="BR30" s="361"/>
      <c r="BS30" s="361"/>
      <c r="BT30" s="361"/>
      <c r="BU30" s="361"/>
      <c r="BV30" s="361"/>
      <c r="BW30" s="361"/>
      <c r="BX30" s="361"/>
      <c r="BY30" s="361"/>
      <c r="BZ30" s="361"/>
      <c r="CA30" s="361"/>
      <c r="CB30" s="361"/>
      <c r="CC30" s="361"/>
      <c r="CD30" s="361"/>
      <c r="CE30" s="361"/>
      <c r="CF30" s="361"/>
      <c r="CG30" s="361"/>
      <c r="CH30" s="361"/>
      <c r="CI30" s="361"/>
      <c r="CJ30" s="361"/>
      <c r="CK30" s="361"/>
      <c r="CL30" s="361"/>
      <c r="CM30" s="361"/>
      <c r="CN30" s="361"/>
      <c r="CO30" s="361"/>
      <c r="CP30" s="361"/>
      <c r="CQ30" s="361"/>
      <c r="CR30" s="361"/>
      <c r="CS30" s="361"/>
      <c r="CT30" s="361"/>
      <c r="CU30" s="361"/>
      <c r="CV30" s="361"/>
      <c r="CW30" s="361"/>
      <c r="CX30" s="361"/>
      <c r="CY30" s="361"/>
      <c r="CZ30" s="361"/>
      <c r="DA30" s="361"/>
      <c r="DB30" s="361"/>
      <c r="DC30" s="361"/>
      <c r="DD30" s="361"/>
      <c r="DE30" s="361"/>
      <c r="DF30" s="361"/>
      <c r="DG30" s="361"/>
      <c r="DH30" s="361"/>
      <c r="DI30" s="361"/>
      <c r="DJ30" s="361"/>
      <c r="DK30" s="361"/>
      <c r="DL30" s="361"/>
      <c r="DM30" s="361"/>
      <c r="DN30" s="361"/>
      <c r="DO30" s="361"/>
      <c r="DP30" s="361"/>
      <c r="DQ30" s="361"/>
      <c r="DR30" s="361"/>
      <c r="DS30" s="361"/>
      <c r="DT30" s="361"/>
      <c r="DU30" s="361"/>
      <c r="DV30" s="361"/>
      <c r="DW30" s="361"/>
      <c r="DX30" s="361"/>
      <c r="DY30" s="361"/>
      <c r="DZ30" s="361"/>
      <c r="EA30" s="361"/>
      <c r="EB30" s="361"/>
      <c r="EC30" s="361"/>
      <c r="ED30" s="361"/>
      <c r="EE30" s="361"/>
      <c r="EF30" s="361"/>
      <c r="EG30" s="361"/>
      <c r="EH30" s="361"/>
      <c r="EI30" s="361"/>
      <c r="EJ30" s="361"/>
      <c r="EK30" s="361"/>
      <c r="EL30" s="361"/>
      <c r="EM30" s="361"/>
      <c r="EN30" s="361"/>
      <c r="EO30" s="361"/>
      <c r="EP30" s="361"/>
      <c r="EQ30" s="361"/>
      <c r="ER30" s="361"/>
      <c r="ES30" s="361"/>
      <c r="ET30" s="361"/>
      <c r="EU30" s="361"/>
      <c r="EV30" s="361"/>
      <c r="EW30" s="361"/>
      <c r="EX30" s="361"/>
      <c r="EY30" s="361"/>
      <c r="EZ30" s="361"/>
      <c r="FA30" s="361"/>
      <c r="FB30" s="361"/>
      <c r="FC30" s="361"/>
      <c r="FD30" s="361"/>
      <c r="FE30" s="361"/>
      <c r="FF30" s="361"/>
      <c r="FG30" s="361"/>
      <c r="FH30" s="361"/>
      <c r="FI30" s="361"/>
      <c r="FJ30" s="361"/>
      <c r="FK30" s="361"/>
      <c r="FL30" s="361"/>
      <c r="FM30" s="361"/>
      <c r="FN30" s="361"/>
      <c r="FO30" s="361"/>
      <c r="FP30" s="361"/>
      <c r="FQ30" s="361"/>
      <c r="FR30" s="361"/>
      <c r="FS30" s="361"/>
      <c r="FT30" s="361"/>
      <c r="FU30" s="361"/>
      <c r="FV30" s="361"/>
      <c r="FW30" s="361"/>
      <c r="FX30" s="361"/>
      <c r="FY30" s="361"/>
      <c r="FZ30" s="361"/>
      <c r="GA30" s="361"/>
      <c r="GB30" s="361"/>
      <c r="GC30" s="361"/>
      <c r="GD30" s="361"/>
      <c r="GE30" s="361"/>
      <c r="GF30" s="361"/>
      <c r="GG30" s="361"/>
      <c r="GH30" s="361"/>
      <c r="GI30" s="361"/>
      <c r="GJ30" s="361"/>
      <c r="GK30" s="361"/>
      <c r="GL30" s="361"/>
      <c r="GM30" s="361"/>
      <c r="GN30" s="361"/>
      <c r="GO30" s="361"/>
      <c r="GP30" s="361"/>
      <c r="GQ30" s="361"/>
      <c r="GR30" s="361"/>
      <c r="GS30" s="361"/>
      <c r="GT30" s="361"/>
      <c r="GU30" s="361"/>
      <c r="GV30" s="361"/>
      <c r="GW30" s="361"/>
      <c r="GX30" s="361"/>
      <c r="GY30" s="361"/>
      <c r="GZ30" s="361"/>
      <c r="HA30" s="361"/>
      <c r="HB30" s="361"/>
      <c r="HC30" s="361"/>
      <c r="HD30" s="361"/>
      <c r="HE30" s="361"/>
      <c r="HF30" s="361"/>
      <c r="HG30" s="361"/>
      <c r="HH30" s="361"/>
      <c r="HI30" s="361"/>
      <c r="HJ30" s="361"/>
      <c r="HK30" s="361"/>
      <c r="HL30" s="361"/>
      <c r="HM30" s="361"/>
      <c r="HN30" s="361"/>
      <c r="HO30" s="361"/>
      <c r="HP30" s="361"/>
      <c r="HQ30" s="361"/>
      <c r="HR30" s="361"/>
      <c r="HS30" s="361"/>
      <c r="HT30" s="361"/>
      <c r="HU30" s="361"/>
      <c r="HV30" s="361"/>
      <c r="HW30" s="361"/>
      <c r="HX30" s="361"/>
      <c r="HY30" s="361"/>
      <c r="HZ30" s="361"/>
      <c r="IA30" s="361"/>
      <c r="IB30" s="361"/>
      <c r="IC30" s="361"/>
      <c r="ID30" s="361"/>
      <c r="IE30" s="361"/>
      <c r="IF30" s="361"/>
      <c r="IG30" s="361"/>
      <c r="IH30" s="361"/>
      <c r="II30" s="361"/>
      <c r="IJ30" s="361"/>
      <c r="IK30" s="361"/>
      <c r="IL30" s="361"/>
      <c r="IM30" s="361"/>
      <c r="IN30" s="361"/>
      <c r="IO30" s="361"/>
      <c r="IP30" s="361"/>
      <c r="IQ30" s="361"/>
      <c r="IR30" s="361"/>
      <c r="IS30" s="361"/>
      <c r="IT30" s="361"/>
      <c r="IU30" s="361"/>
      <c r="IV30" s="361"/>
      <c r="IW30" s="361"/>
      <c r="IX30" s="361"/>
      <c r="IY30" s="346" t="s">
        <v>74</v>
      </c>
      <c r="IZ30" s="346"/>
      <c r="JA30" s="346"/>
      <c r="JB30" s="346"/>
      <c r="JC30" s="346"/>
      <c r="JD30" s="346"/>
      <c r="JE30" s="361"/>
    </row>
    <row r="31" spans="1:265" s="175" customFormat="1" ht="19.95" customHeight="1">
      <c r="A31" s="444"/>
      <c r="B31" s="715"/>
      <c r="C31" s="328" t="s">
        <v>130</v>
      </c>
      <c r="D31" s="336"/>
      <c r="E31" s="445">
        <f>COUNTIFS(Table1351452010[[#All],[Sales]],"คุณชนัฐฎา สนคะมี",Table1351452010[[#All],[Total 
คอมฯค่าเชื่อมสัญญาณ
(3)]],"&gt;1")</f>
        <v>0</v>
      </c>
      <c r="F31" s="446">
        <f>SUMIF(Table1351452010[[#All],[Sales]],"คุณชนัฐฎา สนคะมี",Table1351452010[[#All],[Total 
คอมฯค่าเชื่อมสัญญาณ
(3)]])</f>
        <v>0</v>
      </c>
      <c r="G31" s="433">
        <v>0</v>
      </c>
      <c r="H31" s="435">
        <f t="shared" si="3"/>
        <v>0</v>
      </c>
      <c r="I31" s="359"/>
      <c r="J31" s="359"/>
      <c r="K31" s="359"/>
      <c r="L31" s="359"/>
      <c r="M31" s="360"/>
      <c r="N31" s="361"/>
      <c r="O31" s="361"/>
      <c r="P31" s="361"/>
      <c r="Q31" s="361"/>
      <c r="R31" s="361"/>
      <c r="S31" s="361"/>
      <c r="T31" s="361"/>
      <c r="U31" s="361"/>
      <c r="V31" s="361"/>
      <c r="W31" s="361"/>
      <c r="X31" s="361"/>
      <c r="Y31" s="361"/>
      <c r="Z31" s="361"/>
      <c r="AA31" s="361"/>
      <c r="AB31" s="361"/>
      <c r="AC31" s="361"/>
      <c r="AD31" s="361"/>
      <c r="AE31" s="361"/>
      <c r="AF31" s="361"/>
      <c r="AG31" s="361"/>
      <c r="AH31" s="361"/>
      <c r="AI31" s="361"/>
      <c r="AJ31" s="361"/>
      <c r="AK31" s="361"/>
      <c r="AL31" s="361"/>
      <c r="AM31" s="361"/>
      <c r="AN31" s="361"/>
      <c r="AO31" s="361"/>
      <c r="AP31" s="361"/>
      <c r="AQ31" s="361"/>
      <c r="AR31" s="361"/>
      <c r="AS31" s="361"/>
      <c r="AT31" s="361"/>
      <c r="AU31" s="361"/>
      <c r="AV31" s="361"/>
      <c r="AW31" s="361"/>
      <c r="AX31" s="361"/>
      <c r="AY31" s="361"/>
      <c r="AZ31" s="361"/>
      <c r="BA31" s="361"/>
      <c r="BB31" s="361"/>
      <c r="BC31" s="361"/>
      <c r="BD31" s="361"/>
      <c r="BE31" s="361"/>
      <c r="BF31" s="361"/>
      <c r="BG31" s="361"/>
      <c r="BH31" s="361"/>
      <c r="BI31" s="361"/>
      <c r="BJ31" s="361"/>
      <c r="BK31" s="361"/>
      <c r="BL31" s="361"/>
      <c r="BM31" s="361"/>
      <c r="BN31" s="361"/>
      <c r="BO31" s="361"/>
      <c r="BP31" s="361"/>
      <c r="BQ31" s="361"/>
      <c r="BR31" s="361"/>
      <c r="BS31" s="361"/>
      <c r="BT31" s="361"/>
      <c r="BU31" s="361"/>
      <c r="BV31" s="361"/>
      <c r="BW31" s="361"/>
      <c r="BX31" s="361"/>
      <c r="BY31" s="361"/>
      <c r="BZ31" s="361"/>
      <c r="CA31" s="361"/>
      <c r="CB31" s="361"/>
      <c r="CC31" s="361"/>
      <c r="CD31" s="361"/>
      <c r="CE31" s="361"/>
      <c r="CF31" s="361"/>
      <c r="CG31" s="361"/>
      <c r="CH31" s="361"/>
      <c r="CI31" s="361"/>
      <c r="CJ31" s="361"/>
      <c r="CK31" s="361"/>
      <c r="CL31" s="361"/>
      <c r="CM31" s="361"/>
      <c r="CN31" s="361"/>
      <c r="CO31" s="361"/>
      <c r="CP31" s="361"/>
      <c r="CQ31" s="361"/>
      <c r="CR31" s="361"/>
      <c r="CS31" s="361"/>
      <c r="CT31" s="361"/>
      <c r="CU31" s="361"/>
      <c r="CV31" s="361"/>
      <c r="CW31" s="361"/>
      <c r="CX31" s="361"/>
      <c r="CY31" s="361"/>
      <c r="CZ31" s="361"/>
      <c r="DA31" s="361"/>
      <c r="DB31" s="361"/>
      <c r="DC31" s="361"/>
      <c r="DD31" s="361"/>
      <c r="DE31" s="361"/>
      <c r="DF31" s="361"/>
      <c r="DG31" s="361"/>
      <c r="DH31" s="361"/>
      <c r="DI31" s="361"/>
      <c r="DJ31" s="361"/>
      <c r="DK31" s="361"/>
      <c r="DL31" s="361"/>
      <c r="DM31" s="361"/>
      <c r="DN31" s="361"/>
      <c r="DO31" s="361"/>
      <c r="DP31" s="361"/>
      <c r="DQ31" s="361"/>
      <c r="DR31" s="361"/>
      <c r="DS31" s="361"/>
      <c r="DT31" s="361"/>
      <c r="DU31" s="361"/>
      <c r="DV31" s="361"/>
      <c r="DW31" s="361"/>
      <c r="DX31" s="361"/>
      <c r="DY31" s="361"/>
      <c r="DZ31" s="361"/>
      <c r="EA31" s="361"/>
      <c r="EB31" s="361"/>
      <c r="EC31" s="361"/>
      <c r="ED31" s="361"/>
      <c r="EE31" s="361"/>
      <c r="EF31" s="361"/>
      <c r="EG31" s="361"/>
      <c r="EH31" s="361"/>
      <c r="EI31" s="361"/>
      <c r="EJ31" s="361"/>
      <c r="EK31" s="361"/>
      <c r="EL31" s="361"/>
      <c r="EM31" s="361"/>
      <c r="EN31" s="361"/>
      <c r="EO31" s="361"/>
      <c r="EP31" s="361"/>
      <c r="EQ31" s="361"/>
      <c r="ER31" s="361"/>
      <c r="ES31" s="361"/>
      <c r="ET31" s="361"/>
      <c r="EU31" s="361"/>
      <c r="EV31" s="361"/>
      <c r="EW31" s="361"/>
      <c r="EX31" s="361"/>
      <c r="EY31" s="361"/>
      <c r="EZ31" s="361"/>
      <c r="FA31" s="361"/>
      <c r="FB31" s="361"/>
      <c r="FC31" s="361"/>
      <c r="FD31" s="361"/>
      <c r="FE31" s="361"/>
      <c r="FF31" s="361"/>
      <c r="FG31" s="361"/>
      <c r="FH31" s="361"/>
      <c r="FI31" s="361"/>
      <c r="FJ31" s="361"/>
      <c r="FK31" s="361"/>
      <c r="FL31" s="361"/>
      <c r="FM31" s="361"/>
      <c r="FN31" s="361"/>
      <c r="FO31" s="361"/>
      <c r="FP31" s="361"/>
      <c r="FQ31" s="361"/>
      <c r="FR31" s="361"/>
      <c r="FS31" s="361"/>
      <c r="FT31" s="361"/>
      <c r="FU31" s="361"/>
      <c r="FV31" s="361"/>
      <c r="FW31" s="361"/>
      <c r="FX31" s="361"/>
      <c r="FY31" s="361"/>
      <c r="FZ31" s="361"/>
      <c r="GA31" s="361"/>
      <c r="GB31" s="361"/>
      <c r="GC31" s="361"/>
      <c r="GD31" s="361"/>
      <c r="GE31" s="361"/>
      <c r="GF31" s="361"/>
      <c r="GG31" s="361"/>
      <c r="GH31" s="361"/>
      <c r="GI31" s="361"/>
      <c r="GJ31" s="361"/>
      <c r="GK31" s="361"/>
      <c r="GL31" s="361"/>
      <c r="GM31" s="361"/>
      <c r="GN31" s="361"/>
      <c r="GO31" s="361"/>
      <c r="GP31" s="361"/>
      <c r="GQ31" s="361"/>
      <c r="GR31" s="361"/>
      <c r="GS31" s="361"/>
      <c r="GT31" s="361"/>
      <c r="GU31" s="361"/>
      <c r="GV31" s="361"/>
      <c r="GW31" s="361"/>
      <c r="GX31" s="361"/>
      <c r="GY31" s="361"/>
      <c r="GZ31" s="361"/>
      <c r="HA31" s="361"/>
      <c r="HB31" s="361"/>
      <c r="HC31" s="361"/>
      <c r="HD31" s="361"/>
      <c r="HE31" s="361"/>
      <c r="HF31" s="361"/>
      <c r="HG31" s="361"/>
      <c r="HH31" s="361"/>
      <c r="HI31" s="361"/>
      <c r="HJ31" s="361"/>
      <c r="HK31" s="361"/>
      <c r="HL31" s="361"/>
      <c r="HM31" s="361"/>
      <c r="HN31" s="361"/>
      <c r="HO31" s="361"/>
      <c r="HP31" s="361"/>
      <c r="HQ31" s="361"/>
      <c r="HR31" s="361"/>
      <c r="HS31" s="361"/>
      <c r="HT31" s="361"/>
      <c r="HU31" s="361"/>
      <c r="HV31" s="361"/>
      <c r="HW31" s="361"/>
      <c r="HX31" s="361"/>
      <c r="HY31" s="361"/>
      <c r="HZ31" s="361"/>
      <c r="IA31" s="361"/>
      <c r="IB31" s="361"/>
      <c r="IC31" s="361"/>
      <c r="ID31" s="361"/>
      <c r="IE31" s="361"/>
      <c r="IF31" s="361"/>
      <c r="IG31" s="361"/>
      <c r="IH31" s="361"/>
      <c r="II31" s="361"/>
      <c r="IJ31" s="361"/>
      <c r="IK31" s="361"/>
      <c r="IL31" s="361"/>
      <c r="IM31" s="361"/>
      <c r="IN31" s="361"/>
      <c r="IO31" s="361"/>
      <c r="IP31" s="361"/>
      <c r="IQ31" s="361"/>
      <c r="IR31" s="361"/>
      <c r="IS31" s="361"/>
      <c r="IT31" s="361"/>
      <c r="IU31" s="361"/>
      <c r="IV31" s="361"/>
      <c r="IW31" s="361"/>
      <c r="IX31" s="361"/>
      <c r="IY31" s="346" t="s">
        <v>75</v>
      </c>
      <c r="IZ31" s="346"/>
      <c r="JA31" s="346"/>
      <c r="JB31" s="346"/>
      <c r="JC31" s="346"/>
      <c r="JD31" s="346"/>
      <c r="JE31" s="361"/>
    </row>
    <row r="32" spans="1:265" s="175" customFormat="1" ht="19.95" customHeight="1">
      <c r="A32" s="444"/>
      <c r="B32" s="715"/>
      <c r="C32" s="328" t="s">
        <v>151</v>
      </c>
      <c r="D32" s="336"/>
      <c r="E32" s="445">
        <f>COUNTIFS(Table1351452010[[#All],[Sales]],"คุณจิรภิญญา เป็นปึก",Table1351452010[[#All],[Total 
คอมฯค่าเชื่อมสัญญาณ
(3)]],"&gt;1")</f>
        <v>0</v>
      </c>
      <c r="F32" s="446">
        <f>SUMIF(Table1351452010[[#All],[Sales]],"คุณจิรภิญญา เป็นปึก",Table1351452010[[#All],[Total 
คอมฯค่าเชื่อมสัญญาณ
(3)]])</f>
        <v>0</v>
      </c>
      <c r="G32" s="433">
        <v>0</v>
      </c>
      <c r="H32" s="435">
        <f t="shared" si="3"/>
        <v>0</v>
      </c>
      <c r="I32" s="359"/>
      <c r="J32" s="359"/>
      <c r="K32" s="359"/>
      <c r="L32" s="359"/>
      <c r="M32" s="360"/>
      <c r="N32" s="361"/>
      <c r="O32" s="361"/>
      <c r="P32" s="361"/>
      <c r="Q32" s="361"/>
      <c r="R32" s="361"/>
      <c r="S32" s="361"/>
      <c r="T32" s="361"/>
      <c r="U32" s="361"/>
      <c r="V32" s="361"/>
      <c r="W32" s="361"/>
      <c r="X32" s="361"/>
      <c r="Y32" s="361"/>
      <c r="Z32" s="361"/>
      <c r="AA32" s="361"/>
      <c r="AB32" s="361"/>
      <c r="AC32" s="361"/>
      <c r="AD32" s="361"/>
      <c r="AE32" s="361"/>
      <c r="AF32" s="361"/>
      <c r="AG32" s="361"/>
      <c r="AH32" s="361"/>
      <c r="AI32" s="361"/>
      <c r="AJ32" s="361"/>
      <c r="AK32" s="361"/>
      <c r="AL32" s="361"/>
      <c r="AM32" s="361"/>
      <c r="AN32" s="361"/>
      <c r="AO32" s="361"/>
      <c r="AP32" s="361"/>
      <c r="AQ32" s="361"/>
      <c r="AR32" s="361"/>
      <c r="AS32" s="361"/>
      <c r="AT32" s="361"/>
      <c r="AU32" s="361"/>
      <c r="AV32" s="361"/>
      <c r="AW32" s="361"/>
      <c r="AX32" s="361"/>
      <c r="AY32" s="361"/>
      <c r="AZ32" s="361"/>
      <c r="BA32" s="361"/>
      <c r="BB32" s="361"/>
      <c r="BC32" s="361"/>
      <c r="BD32" s="361"/>
      <c r="BE32" s="361"/>
      <c r="BF32" s="361"/>
      <c r="BG32" s="361"/>
      <c r="BH32" s="361"/>
      <c r="BI32" s="361"/>
      <c r="BJ32" s="361"/>
      <c r="BK32" s="361"/>
      <c r="BL32" s="361"/>
      <c r="BM32" s="361"/>
      <c r="BN32" s="361"/>
      <c r="BO32" s="361"/>
      <c r="BP32" s="361"/>
      <c r="BQ32" s="361"/>
      <c r="BR32" s="361"/>
      <c r="BS32" s="361"/>
      <c r="BT32" s="361"/>
      <c r="BU32" s="361"/>
      <c r="BV32" s="361"/>
      <c r="BW32" s="361"/>
      <c r="BX32" s="361"/>
      <c r="BY32" s="361"/>
      <c r="BZ32" s="361"/>
      <c r="CA32" s="361"/>
      <c r="CB32" s="361"/>
      <c r="CC32" s="361"/>
      <c r="CD32" s="361"/>
      <c r="CE32" s="361"/>
      <c r="CF32" s="361"/>
      <c r="CG32" s="361"/>
      <c r="CH32" s="361"/>
      <c r="CI32" s="361"/>
      <c r="CJ32" s="361"/>
      <c r="CK32" s="361"/>
      <c r="CL32" s="361"/>
      <c r="CM32" s="361"/>
      <c r="CN32" s="361"/>
      <c r="CO32" s="361"/>
      <c r="CP32" s="361"/>
      <c r="CQ32" s="361"/>
      <c r="CR32" s="361"/>
      <c r="CS32" s="361"/>
      <c r="CT32" s="361"/>
      <c r="CU32" s="361"/>
      <c r="CV32" s="361"/>
      <c r="CW32" s="361"/>
      <c r="CX32" s="361"/>
      <c r="CY32" s="361"/>
      <c r="CZ32" s="361"/>
      <c r="DA32" s="361"/>
      <c r="DB32" s="361"/>
      <c r="DC32" s="361"/>
      <c r="DD32" s="361"/>
      <c r="DE32" s="361"/>
      <c r="DF32" s="361"/>
      <c r="DG32" s="361"/>
      <c r="DH32" s="361"/>
      <c r="DI32" s="361"/>
      <c r="DJ32" s="361"/>
      <c r="DK32" s="361"/>
      <c r="DL32" s="361"/>
      <c r="DM32" s="361"/>
      <c r="DN32" s="361"/>
      <c r="DO32" s="361"/>
      <c r="DP32" s="361"/>
      <c r="DQ32" s="361"/>
      <c r="DR32" s="361"/>
      <c r="DS32" s="361"/>
      <c r="DT32" s="361"/>
      <c r="DU32" s="361"/>
      <c r="DV32" s="361"/>
      <c r="DW32" s="361"/>
      <c r="DX32" s="361"/>
      <c r="DY32" s="361"/>
      <c r="DZ32" s="361"/>
      <c r="EA32" s="361"/>
      <c r="EB32" s="361"/>
      <c r="EC32" s="361"/>
      <c r="ED32" s="361"/>
      <c r="EE32" s="361"/>
      <c r="EF32" s="361"/>
      <c r="EG32" s="361"/>
      <c r="EH32" s="361"/>
      <c r="EI32" s="361"/>
      <c r="EJ32" s="361"/>
      <c r="EK32" s="361"/>
      <c r="EL32" s="361"/>
      <c r="EM32" s="361"/>
      <c r="EN32" s="361"/>
      <c r="EO32" s="361"/>
      <c r="EP32" s="361"/>
      <c r="EQ32" s="361"/>
      <c r="ER32" s="361"/>
      <c r="ES32" s="361"/>
      <c r="ET32" s="361"/>
      <c r="EU32" s="361"/>
      <c r="EV32" s="361"/>
      <c r="EW32" s="361"/>
      <c r="EX32" s="361"/>
      <c r="EY32" s="361"/>
      <c r="EZ32" s="361"/>
      <c r="FA32" s="361"/>
      <c r="FB32" s="361"/>
      <c r="FC32" s="361"/>
      <c r="FD32" s="361"/>
      <c r="FE32" s="361"/>
      <c r="FF32" s="361"/>
      <c r="FG32" s="361"/>
      <c r="FH32" s="361"/>
      <c r="FI32" s="361"/>
      <c r="FJ32" s="361"/>
      <c r="FK32" s="361"/>
      <c r="FL32" s="361"/>
      <c r="FM32" s="361"/>
      <c r="FN32" s="361"/>
      <c r="FO32" s="361"/>
      <c r="FP32" s="361"/>
      <c r="FQ32" s="361"/>
      <c r="FR32" s="361"/>
      <c r="FS32" s="361"/>
      <c r="FT32" s="361"/>
      <c r="FU32" s="361"/>
      <c r="FV32" s="361"/>
      <c r="FW32" s="361"/>
      <c r="FX32" s="361"/>
      <c r="FY32" s="361"/>
      <c r="FZ32" s="361"/>
      <c r="GA32" s="361"/>
      <c r="GB32" s="361"/>
      <c r="GC32" s="361"/>
      <c r="GD32" s="361"/>
      <c r="GE32" s="361"/>
      <c r="GF32" s="361"/>
      <c r="GG32" s="361"/>
      <c r="GH32" s="361"/>
      <c r="GI32" s="361"/>
      <c r="GJ32" s="361"/>
      <c r="GK32" s="361"/>
      <c r="GL32" s="361"/>
      <c r="GM32" s="361"/>
      <c r="GN32" s="361"/>
      <c r="GO32" s="361"/>
      <c r="GP32" s="361"/>
      <c r="GQ32" s="361"/>
      <c r="GR32" s="361"/>
      <c r="GS32" s="361"/>
      <c r="GT32" s="361"/>
      <c r="GU32" s="361"/>
      <c r="GV32" s="361"/>
      <c r="GW32" s="361"/>
      <c r="GX32" s="361"/>
      <c r="GY32" s="361"/>
      <c r="GZ32" s="361"/>
      <c r="HA32" s="361"/>
      <c r="HB32" s="361"/>
      <c r="HC32" s="361"/>
      <c r="HD32" s="361"/>
      <c r="HE32" s="361"/>
      <c r="HF32" s="361"/>
      <c r="HG32" s="361"/>
      <c r="HH32" s="361"/>
      <c r="HI32" s="361"/>
      <c r="HJ32" s="361"/>
      <c r="HK32" s="361"/>
      <c r="HL32" s="361"/>
      <c r="HM32" s="361"/>
      <c r="HN32" s="361"/>
      <c r="HO32" s="361"/>
      <c r="HP32" s="361"/>
      <c r="HQ32" s="361"/>
      <c r="HR32" s="361"/>
      <c r="HS32" s="361"/>
      <c r="HT32" s="361"/>
      <c r="HU32" s="361"/>
      <c r="HV32" s="361"/>
      <c r="HW32" s="361"/>
      <c r="HX32" s="361"/>
      <c r="HY32" s="361"/>
      <c r="HZ32" s="361"/>
      <c r="IA32" s="361"/>
      <c r="IB32" s="361"/>
      <c r="IC32" s="361"/>
      <c r="ID32" s="361"/>
      <c r="IE32" s="361"/>
      <c r="IF32" s="361"/>
      <c r="IG32" s="361"/>
      <c r="IH32" s="361"/>
      <c r="II32" s="361"/>
      <c r="IJ32" s="361"/>
      <c r="IK32" s="361"/>
      <c r="IL32" s="361"/>
      <c r="IM32" s="361"/>
      <c r="IN32" s="361"/>
      <c r="IO32" s="361"/>
      <c r="IP32" s="361"/>
      <c r="IQ32" s="361"/>
      <c r="IR32" s="361"/>
      <c r="IS32" s="361"/>
      <c r="IT32" s="361"/>
      <c r="IU32" s="361"/>
      <c r="IV32" s="361"/>
      <c r="IW32" s="361"/>
      <c r="IX32" s="361"/>
      <c r="IY32" s="346" t="s">
        <v>152</v>
      </c>
      <c r="IZ32" s="346"/>
      <c r="JA32" s="346"/>
      <c r="JB32" s="346"/>
      <c r="JC32" s="346"/>
      <c r="JD32" s="346"/>
      <c r="JE32" s="361"/>
    </row>
    <row r="33" spans="1:267" s="175" customFormat="1" ht="19.95" customHeight="1">
      <c r="A33" s="444"/>
      <c r="B33" s="715"/>
      <c r="C33" s="328" t="s">
        <v>72</v>
      </c>
      <c r="D33" s="336"/>
      <c r="E33" s="445">
        <f>COUNTIFS(Table1351452010[[#All],[Sales]],"คุณแดง มูลสองแคว",Table1351452010[[#All],[Total 
คอมฯค่าเชื่อมสัญญาณ
(3)]],"&gt;1")</f>
        <v>0</v>
      </c>
      <c r="F33" s="446">
        <f>SUMIF(Table1351452010[[#All],[Sales]],"คุณแดง มูลสองแคว",Table1351452010[[#All],[Total 
คอมฯค่าเชื่อมสัญญาณ
(3)]])</f>
        <v>0</v>
      </c>
      <c r="G33" s="433">
        <v>0</v>
      </c>
      <c r="H33" s="435">
        <f t="shared" si="3"/>
        <v>0</v>
      </c>
      <c r="I33" s="359"/>
      <c r="J33" s="359"/>
      <c r="K33" s="359"/>
      <c r="L33" s="359"/>
      <c r="M33" s="360"/>
      <c r="N33" s="361"/>
      <c r="O33" s="361"/>
      <c r="P33" s="361"/>
      <c r="Q33" s="361"/>
      <c r="R33" s="361"/>
      <c r="S33" s="361"/>
      <c r="T33" s="361"/>
      <c r="U33" s="361"/>
      <c r="V33" s="361"/>
      <c r="W33" s="361"/>
      <c r="X33" s="361"/>
      <c r="Y33" s="361"/>
      <c r="Z33" s="361"/>
      <c r="AA33" s="361"/>
      <c r="AB33" s="361"/>
      <c r="AC33" s="361"/>
      <c r="AD33" s="361"/>
      <c r="AE33" s="361"/>
      <c r="AF33" s="361"/>
      <c r="AG33" s="361"/>
      <c r="AH33" s="361"/>
      <c r="AI33" s="361"/>
      <c r="AJ33" s="361"/>
      <c r="AK33" s="361"/>
      <c r="AL33" s="361"/>
      <c r="AM33" s="361"/>
      <c r="AN33" s="361"/>
      <c r="AO33" s="361"/>
      <c r="AP33" s="361"/>
      <c r="AQ33" s="361"/>
      <c r="AR33" s="361"/>
      <c r="AS33" s="361"/>
      <c r="AT33" s="361"/>
      <c r="AU33" s="361"/>
      <c r="AV33" s="361"/>
      <c r="AW33" s="361"/>
      <c r="AX33" s="361"/>
      <c r="AY33" s="361"/>
      <c r="AZ33" s="361"/>
      <c r="BA33" s="361"/>
      <c r="BB33" s="361"/>
      <c r="BC33" s="361"/>
      <c r="BD33" s="361"/>
      <c r="BE33" s="361"/>
      <c r="BF33" s="361"/>
      <c r="BG33" s="361"/>
      <c r="BH33" s="361"/>
      <c r="BI33" s="361"/>
      <c r="BJ33" s="361"/>
      <c r="BK33" s="361"/>
      <c r="BL33" s="361"/>
      <c r="BM33" s="361"/>
      <c r="BN33" s="361"/>
      <c r="BO33" s="361"/>
      <c r="BP33" s="361"/>
      <c r="BQ33" s="361"/>
      <c r="BR33" s="361"/>
      <c r="BS33" s="361"/>
      <c r="BT33" s="361"/>
      <c r="BU33" s="361"/>
      <c r="BV33" s="361"/>
      <c r="BW33" s="361"/>
      <c r="BX33" s="361"/>
      <c r="BY33" s="361"/>
      <c r="BZ33" s="361"/>
      <c r="CA33" s="361"/>
      <c r="CB33" s="361"/>
      <c r="CC33" s="361"/>
      <c r="CD33" s="361"/>
      <c r="CE33" s="361"/>
      <c r="CF33" s="361"/>
      <c r="CG33" s="361"/>
      <c r="CH33" s="361"/>
      <c r="CI33" s="361"/>
      <c r="CJ33" s="361"/>
      <c r="CK33" s="361"/>
      <c r="CL33" s="361"/>
      <c r="CM33" s="361"/>
      <c r="CN33" s="361"/>
      <c r="CO33" s="361"/>
      <c r="CP33" s="361"/>
      <c r="CQ33" s="361"/>
      <c r="CR33" s="361"/>
      <c r="CS33" s="361"/>
      <c r="CT33" s="361"/>
      <c r="CU33" s="361"/>
      <c r="CV33" s="361"/>
      <c r="CW33" s="361"/>
      <c r="CX33" s="361"/>
      <c r="CY33" s="361"/>
      <c r="CZ33" s="361"/>
      <c r="DA33" s="361"/>
      <c r="DB33" s="361"/>
      <c r="DC33" s="361"/>
      <c r="DD33" s="361"/>
      <c r="DE33" s="361"/>
      <c r="DF33" s="361"/>
      <c r="DG33" s="361"/>
      <c r="DH33" s="361"/>
      <c r="DI33" s="361"/>
      <c r="DJ33" s="361"/>
      <c r="DK33" s="361"/>
      <c r="DL33" s="361"/>
      <c r="DM33" s="361"/>
      <c r="DN33" s="361"/>
      <c r="DO33" s="361"/>
      <c r="DP33" s="361"/>
      <c r="DQ33" s="361"/>
      <c r="DR33" s="361"/>
      <c r="DS33" s="361"/>
      <c r="DT33" s="361"/>
      <c r="DU33" s="361"/>
      <c r="DV33" s="361"/>
      <c r="DW33" s="361"/>
      <c r="DX33" s="361"/>
      <c r="DY33" s="361"/>
      <c r="DZ33" s="361"/>
      <c r="EA33" s="361"/>
      <c r="EB33" s="361"/>
      <c r="EC33" s="361"/>
      <c r="ED33" s="361"/>
      <c r="EE33" s="361"/>
      <c r="EF33" s="361"/>
      <c r="EG33" s="361"/>
      <c r="EH33" s="361"/>
      <c r="EI33" s="361"/>
      <c r="EJ33" s="361"/>
      <c r="EK33" s="361"/>
      <c r="EL33" s="361"/>
      <c r="EM33" s="361"/>
      <c r="EN33" s="361"/>
      <c r="EO33" s="361"/>
      <c r="EP33" s="361"/>
      <c r="EQ33" s="361"/>
      <c r="ER33" s="361"/>
      <c r="ES33" s="361"/>
      <c r="ET33" s="361"/>
      <c r="EU33" s="361"/>
      <c r="EV33" s="361"/>
      <c r="EW33" s="361"/>
      <c r="EX33" s="361"/>
      <c r="EY33" s="361"/>
      <c r="EZ33" s="361"/>
      <c r="FA33" s="361"/>
      <c r="FB33" s="361"/>
      <c r="FC33" s="361"/>
      <c r="FD33" s="361"/>
      <c r="FE33" s="361"/>
      <c r="FF33" s="361"/>
      <c r="FG33" s="361"/>
      <c r="FH33" s="361"/>
      <c r="FI33" s="361"/>
      <c r="FJ33" s="361"/>
      <c r="FK33" s="361"/>
      <c r="FL33" s="361"/>
      <c r="FM33" s="361"/>
      <c r="FN33" s="361"/>
      <c r="FO33" s="361"/>
      <c r="FP33" s="361"/>
      <c r="FQ33" s="361"/>
      <c r="FR33" s="361"/>
      <c r="FS33" s="361"/>
      <c r="FT33" s="361"/>
      <c r="FU33" s="361"/>
      <c r="FV33" s="361"/>
      <c r="FW33" s="361"/>
      <c r="FX33" s="361"/>
      <c r="FY33" s="361"/>
      <c r="FZ33" s="361"/>
      <c r="GA33" s="361"/>
      <c r="GB33" s="361"/>
      <c r="GC33" s="361"/>
      <c r="GD33" s="361"/>
      <c r="GE33" s="361"/>
      <c r="GF33" s="361"/>
      <c r="GG33" s="361"/>
      <c r="GH33" s="361"/>
      <c r="GI33" s="361"/>
      <c r="GJ33" s="361"/>
      <c r="GK33" s="361"/>
      <c r="GL33" s="361"/>
      <c r="GM33" s="361"/>
      <c r="GN33" s="361"/>
      <c r="GO33" s="361"/>
      <c r="GP33" s="361"/>
      <c r="GQ33" s="361"/>
      <c r="GR33" s="361"/>
      <c r="GS33" s="361"/>
      <c r="GT33" s="361"/>
      <c r="GU33" s="361"/>
      <c r="GV33" s="361"/>
      <c r="GW33" s="361"/>
      <c r="GX33" s="361"/>
      <c r="GY33" s="361"/>
      <c r="GZ33" s="361"/>
      <c r="HA33" s="361"/>
      <c r="HB33" s="361"/>
      <c r="HC33" s="361"/>
      <c r="HD33" s="361"/>
      <c r="HE33" s="361"/>
      <c r="HF33" s="361"/>
      <c r="HG33" s="361"/>
      <c r="HH33" s="361"/>
      <c r="HI33" s="361"/>
      <c r="HJ33" s="361"/>
      <c r="HK33" s="361"/>
      <c r="HL33" s="361"/>
      <c r="HM33" s="361"/>
      <c r="HN33" s="361"/>
      <c r="HO33" s="361"/>
      <c r="HP33" s="361"/>
      <c r="HQ33" s="361"/>
      <c r="HR33" s="361"/>
      <c r="HS33" s="361"/>
      <c r="HT33" s="361"/>
      <c r="HU33" s="361"/>
      <c r="HV33" s="361"/>
      <c r="HW33" s="361"/>
      <c r="HX33" s="361"/>
      <c r="HY33" s="361"/>
      <c r="HZ33" s="361"/>
      <c r="IA33" s="361"/>
      <c r="IB33" s="361"/>
      <c r="IC33" s="361"/>
      <c r="ID33" s="361"/>
      <c r="IE33" s="361"/>
      <c r="IF33" s="361"/>
      <c r="IG33" s="361"/>
      <c r="IH33" s="361"/>
      <c r="II33" s="361"/>
      <c r="IJ33" s="361"/>
      <c r="IK33" s="361"/>
      <c r="IL33" s="361"/>
      <c r="IM33" s="361"/>
      <c r="IN33" s="361"/>
      <c r="IO33" s="361"/>
      <c r="IP33" s="361"/>
      <c r="IQ33" s="361"/>
      <c r="IR33" s="361"/>
      <c r="IS33" s="361"/>
      <c r="IT33" s="361"/>
      <c r="IU33" s="361"/>
      <c r="IV33" s="361"/>
      <c r="IW33" s="361"/>
      <c r="IX33" s="361"/>
      <c r="IY33" s="346" t="s">
        <v>130</v>
      </c>
      <c r="IZ33" s="346"/>
      <c r="JA33" s="346"/>
      <c r="JB33" s="346"/>
      <c r="JC33" s="346"/>
      <c r="JD33" s="346"/>
      <c r="JE33" s="361"/>
    </row>
    <row r="34" spans="1:267" s="175" customFormat="1" ht="19.95" customHeight="1" thickBot="1">
      <c r="A34" s="444"/>
      <c r="B34" s="335"/>
      <c r="C34" s="328" t="s">
        <v>67</v>
      </c>
      <c r="D34" s="336"/>
      <c r="E34" s="445">
        <f>COUNTIFS(Table1351452010[[#All],[Sales]],"คุณรุ่งอรุณ อินบุญรอด",Table1351452010[[#All],[Total 
คอมฯค่าเชื่อมสัญญาณ
(3)]],"&gt;1")</f>
        <v>0</v>
      </c>
      <c r="F34" s="446">
        <f>SUMIF(Table1351452010[[#All],[Sales]],"คุณรุ่งอรุณ อินบุญรอด",Table1351452010[[#All],[Total 
คอมฯค่าเชื่อมสัญญาณ
(3)]])</f>
        <v>0</v>
      </c>
      <c r="G34" s="433">
        <v>0</v>
      </c>
      <c r="H34" s="435">
        <f t="shared" si="3"/>
        <v>0</v>
      </c>
      <c r="I34" s="359"/>
      <c r="J34" s="359"/>
      <c r="K34" s="359"/>
      <c r="L34" s="359"/>
      <c r="M34" s="360"/>
      <c r="N34" s="361"/>
      <c r="O34" s="361"/>
      <c r="P34" s="361"/>
      <c r="Q34" s="361"/>
      <c r="R34" s="361"/>
      <c r="S34" s="361"/>
      <c r="T34" s="361"/>
      <c r="U34" s="361"/>
      <c r="V34" s="361"/>
      <c r="W34" s="361"/>
      <c r="X34" s="361"/>
      <c r="Y34" s="361"/>
      <c r="Z34" s="361"/>
      <c r="AA34" s="361"/>
      <c r="AB34" s="361"/>
      <c r="AC34" s="361"/>
      <c r="AD34" s="361"/>
      <c r="AE34" s="361"/>
      <c r="AF34" s="361"/>
      <c r="AG34" s="361"/>
      <c r="AH34" s="361"/>
      <c r="AI34" s="361"/>
      <c r="AJ34" s="361"/>
      <c r="AK34" s="361"/>
      <c r="AL34" s="361"/>
      <c r="AM34" s="361"/>
      <c r="AN34" s="361"/>
      <c r="AO34" s="361"/>
      <c r="AP34" s="361"/>
      <c r="AQ34" s="361"/>
      <c r="AR34" s="361"/>
      <c r="AS34" s="361"/>
      <c r="AT34" s="361"/>
      <c r="AU34" s="361"/>
      <c r="AV34" s="361"/>
      <c r="AW34" s="361"/>
      <c r="AX34" s="361"/>
      <c r="AY34" s="361"/>
      <c r="AZ34" s="361"/>
      <c r="BA34" s="361"/>
      <c r="BB34" s="361"/>
      <c r="BC34" s="361"/>
      <c r="BD34" s="361"/>
      <c r="BE34" s="361"/>
      <c r="BF34" s="361"/>
      <c r="BG34" s="361"/>
      <c r="BH34" s="361"/>
      <c r="BI34" s="361"/>
      <c r="BJ34" s="361"/>
      <c r="BK34" s="361"/>
      <c r="BL34" s="361"/>
      <c r="BM34" s="361"/>
      <c r="BN34" s="361"/>
      <c r="BO34" s="361"/>
      <c r="BP34" s="361"/>
      <c r="BQ34" s="361"/>
      <c r="BR34" s="361"/>
      <c r="BS34" s="361"/>
      <c r="BT34" s="361"/>
      <c r="BU34" s="361"/>
      <c r="BV34" s="361"/>
      <c r="BW34" s="361"/>
      <c r="BX34" s="361"/>
      <c r="BY34" s="361"/>
      <c r="BZ34" s="361"/>
      <c r="CA34" s="361"/>
      <c r="CB34" s="361"/>
      <c r="CC34" s="361"/>
      <c r="CD34" s="361"/>
      <c r="CE34" s="361"/>
      <c r="CF34" s="361"/>
      <c r="CG34" s="361"/>
      <c r="CH34" s="361"/>
      <c r="CI34" s="361"/>
      <c r="CJ34" s="361"/>
      <c r="CK34" s="361"/>
      <c r="CL34" s="361"/>
      <c r="CM34" s="361"/>
      <c r="CN34" s="361"/>
      <c r="CO34" s="361"/>
      <c r="CP34" s="361"/>
      <c r="CQ34" s="361"/>
      <c r="CR34" s="361"/>
      <c r="CS34" s="361"/>
      <c r="CT34" s="361"/>
      <c r="CU34" s="361"/>
      <c r="CV34" s="361"/>
      <c r="CW34" s="361"/>
      <c r="CX34" s="361"/>
      <c r="CY34" s="361"/>
      <c r="CZ34" s="361"/>
      <c r="DA34" s="361"/>
      <c r="DB34" s="361"/>
      <c r="DC34" s="361"/>
      <c r="DD34" s="361"/>
      <c r="DE34" s="361"/>
      <c r="DF34" s="361"/>
      <c r="DG34" s="361"/>
      <c r="DH34" s="361"/>
      <c r="DI34" s="361"/>
      <c r="DJ34" s="361"/>
      <c r="DK34" s="361"/>
      <c r="DL34" s="361"/>
      <c r="DM34" s="361"/>
      <c r="DN34" s="361"/>
      <c r="DO34" s="361"/>
      <c r="DP34" s="361"/>
      <c r="DQ34" s="361"/>
      <c r="DR34" s="361"/>
      <c r="DS34" s="361"/>
      <c r="DT34" s="361"/>
      <c r="DU34" s="361"/>
      <c r="DV34" s="361"/>
      <c r="DW34" s="361"/>
      <c r="DX34" s="361"/>
      <c r="DY34" s="361"/>
      <c r="DZ34" s="361"/>
      <c r="EA34" s="361"/>
      <c r="EB34" s="361"/>
      <c r="EC34" s="361"/>
      <c r="ED34" s="361"/>
      <c r="EE34" s="361"/>
      <c r="EF34" s="361"/>
      <c r="EG34" s="361"/>
      <c r="EH34" s="361"/>
      <c r="EI34" s="361"/>
      <c r="EJ34" s="361"/>
      <c r="EK34" s="361"/>
      <c r="EL34" s="361"/>
      <c r="EM34" s="361"/>
      <c r="EN34" s="361"/>
      <c r="EO34" s="361"/>
      <c r="EP34" s="361"/>
      <c r="EQ34" s="361"/>
      <c r="ER34" s="361"/>
      <c r="ES34" s="361"/>
      <c r="ET34" s="361"/>
      <c r="EU34" s="361"/>
      <c r="EV34" s="361"/>
      <c r="EW34" s="361"/>
      <c r="EX34" s="361"/>
      <c r="EY34" s="361"/>
      <c r="EZ34" s="361"/>
      <c r="FA34" s="361"/>
      <c r="FB34" s="361"/>
      <c r="FC34" s="361"/>
      <c r="FD34" s="361"/>
      <c r="FE34" s="361"/>
      <c r="FF34" s="361"/>
      <c r="FG34" s="361"/>
      <c r="FH34" s="361"/>
      <c r="FI34" s="361"/>
      <c r="FJ34" s="361"/>
      <c r="FK34" s="361"/>
      <c r="FL34" s="361"/>
      <c r="FM34" s="361"/>
      <c r="FN34" s="361"/>
      <c r="FO34" s="361"/>
      <c r="FP34" s="361"/>
      <c r="FQ34" s="361"/>
      <c r="FR34" s="361"/>
      <c r="FS34" s="361"/>
      <c r="FT34" s="361"/>
      <c r="FU34" s="361"/>
      <c r="FV34" s="361"/>
      <c r="FW34" s="361"/>
      <c r="FX34" s="361"/>
      <c r="FY34" s="361"/>
      <c r="FZ34" s="361"/>
      <c r="GA34" s="361"/>
      <c r="GB34" s="361"/>
      <c r="GC34" s="361"/>
      <c r="GD34" s="361"/>
      <c r="GE34" s="361"/>
      <c r="GF34" s="361"/>
      <c r="GG34" s="361"/>
      <c r="GH34" s="361"/>
      <c r="GI34" s="361"/>
      <c r="GJ34" s="361"/>
      <c r="GK34" s="361"/>
      <c r="GL34" s="361"/>
      <c r="GM34" s="361"/>
      <c r="GN34" s="361"/>
      <c r="GO34" s="361"/>
      <c r="GP34" s="361"/>
      <c r="GQ34" s="361"/>
      <c r="GR34" s="361"/>
      <c r="GS34" s="361"/>
      <c r="GT34" s="361"/>
      <c r="GU34" s="361"/>
      <c r="GV34" s="361"/>
      <c r="GW34" s="361"/>
      <c r="GX34" s="361"/>
      <c r="GY34" s="361"/>
      <c r="GZ34" s="361"/>
      <c r="HA34" s="361"/>
      <c r="HB34" s="361"/>
      <c r="HC34" s="361"/>
      <c r="HD34" s="361"/>
      <c r="HE34" s="361"/>
      <c r="HF34" s="361"/>
      <c r="HG34" s="361"/>
      <c r="HH34" s="361"/>
      <c r="HI34" s="361"/>
      <c r="HJ34" s="361"/>
      <c r="HK34" s="361"/>
      <c r="HL34" s="361"/>
      <c r="HM34" s="361"/>
      <c r="HN34" s="361"/>
      <c r="HO34" s="361"/>
      <c r="HP34" s="361"/>
      <c r="HQ34" s="361"/>
      <c r="HR34" s="361"/>
      <c r="HS34" s="361"/>
      <c r="HT34" s="361"/>
      <c r="HU34" s="361"/>
      <c r="HV34" s="361"/>
      <c r="HW34" s="361"/>
      <c r="HX34" s="361"/>
      <c r="HY34" s="361"/>
      <c r="HZ34" s="361"/>
      <c r="IA34" s="361"/>
      <c r="IB34" s="361"/>
      <c r="IC34" s="361"/>
      <c r="ID34" s="361"/>
      <c r="IE34" s="361"/>
      <c r="IF34" s="361"/>
      <c r="IG34" s="361"/>
      <c r="IH34" s="361"/>
      <c r="II34" s="361"/>
      <c r="IJ34" s="361"/>
      <c r="IK34" s="361"/>
      <c r="IL34" s="361"/>
      <c r="IM34" s="361"/>
      <c r="IN34" s="361"/>
      <c r="IO34" s="361"/>
      <c r="IP34" s="361"/>
      <c r="IQ34" s="361"/>
      <c r="IR34" s="361"/>
      <c r="IS34" s="361"/>
      <c r="IT34" s="361"/>
      <c r="IU34" s="361"/>
      <c r="IV34" s="361"/>
      <c r="IW34" s="361"/>
      <c r="IX34" s="361"/>
      <c r="IY34" s="346" t="s">
        <v>72</v>
      </c>
      <c r="IZ34" s="346"/>
      <c r="JA34" s="346"/>
      <c r="JB34" s="346"/>
      <c r="JC34" s="346"/>
      <c r="JD34" s="346"/>
      <c r="JE34" s="361"/>
    </row>
    <row r="35" spans="1:267" s="175" customFormat="1" ht="21" customHeight="1" thickBot="1">
      <c r="A35" s="447"/>
      <c r="B35" s="448" t="s">
        <v>12</v>
      </c>
      <c r="C35" s="448"/>
      <c r="D35" s="448"/>
      <c r="E35" s="449">
        <f>SUM(E5:E34)</f>
        <v>15</v>
      </c>
      <c r="F35" s="450">
        <f>SUM(F5:F34)</f>
        <v>145098.73000000001</v>
      </c>
      <c r="G35" s="450">
        <f>SUM(G5:G34)</f>
        <v>5377.6492000000007</v>
      </c>
      <c r="H35" s="451">
        <f>SUM(H5:H34)</f>
        <v>139721.0808</v>
      </c>
      <c r="I35" s="360"/>
      <c r="J35" s="360"/>
      <c r="K35" s="359"/>
      <c r="L35" s="359"/>
      <c r="M35" s="360"/>
      <c r="N35" s="361"/>
      <c r="O35" s="361"/>
      <c r="P35" s="361"/>
      <c r="Q35" s="361"/>
      <c r="R35" s="361"/>
      <c r="S35" s="361"/>
      <c r="T35" s="361"/>
      <c r="U35" s="361"/>
      <c r="V35" s="361"/>
      <c r="W35" s="361"/>
      <c r="X35" s="361"/>
      <c r="Y35" s="361"/>
      <c r="Z35" s="361"/>
      <c r="AA35" s="361"/>
      <c r="AB35" s="361"/>
      <c r="AC35" s="361"/>
      <c r="AD35" s="361"/>
      <c r="AE35" s="361"/>
      <c r="AF35" s="361"/>
      <c r="AG35" s="361"/>
      <c r="AH35" s="361"/>
      <c r="AI35" s="361"/>
      <c r="AJ35" s="361"/>
      <c r="AK35" s="361"/>
      <c r="AL35" s="361"/>
      <c r="AM35" s="361"/>
      <c r="AN35" s="361"/>
      <c r="AO35" s="361"/>
      <c r="AP35" s="361"/>
      <c r="AQ35" s="361"/>
      <c r="AR35" s="361"/>
      <c r="AS35" s="361"/>
      <c r="AT35" s="361"/>
      <c r="AU35" s="361"/>
      <c r="AV35" s="361"/>
      <c r="AW35" s="361"/>
      <c r="AX35" s="361"/>
      <c r="AY35" s="361"/>
      <c r="AZ35" s="361"/>
      <c r="BA35" s="361"/>
      <c r="BB35" s="361"/>
      <c r="BC35" s="361"/>
      <c r="BD35" s="361"/>
      <c r="BE35" s="361"/>
      <c r="BF35" s="361"/>
      <c r="BG35" s="361"/>
      <c r="BH35" s="361"/>
      <c r="BI35" s="361"/>
      <c r="BJ35" s="361"/>
      <c r="BK35" s="361"/>
      <c r="BL35" s="361"/>
      <c r="BM35" s="361"/>
      <c r="BN35" s="361"/>
      <c r="BO35" s="361"/>
      <c r="BP35" s="361"/>
      <c r="BQ35" s="361"/>
      <c r="BR35" s="361"/>
      <c r="BS35" s="361"/>
      <c r="BT35" s="361"/>
      <c r="BU35" s="361"/>
      <c r="BV35" s="361"/>
      <c r="BW35" s="361"/>
      <c r="BX35" s="361"/>
      <c r="BY35" s="361"/>
      <c r="BZ35" s="361"/>
      <c r="CA35" s="361"/>
      <c r="CB35" s="361"/>
      <c r="CC35" s="361"/>
      <c r="CD35" s="361"/>
      <c r="CE35" s="361"/>
      <c r="CF35" s="361"/>
      <c r="CG35" s="361"/>
      <c r="CH35" s="361"/>
      <c r="CI35" s="361"/>
      <c r="CJ35" s="361"/>
      <c r="CK35" s="361"/>
      <c r="CL35" s="361"/>
      <c r="CM35" s="361"/>
      <c r="CN35" s="361"/>
      <c r="CO35" s="361"/>
      <c r="CP35" s="361"/>
      <c r="CQ35" s="361"/>
      <c r="CR35" s="361"/>
      <c r="CS35" s="361"/>
      <c r="CT35" s="361"/>
      <c r="CU35" s="361"/>
      <c r="CV35" s="361"/>
      <c r="CW35" s="361"/>
      <c r="CX35" s="361"/>
      <c r="CY35" s="361"/>
      <c r="CZ35" s="361"/>
      <c r="DA35" s="361"/>
      <c r="DB35" s="361"/>
      <c r="DC35" s="361"/>
      <c r="DD35" s="361"/>
      <c r="DE35" s="361"/>
      <c r="DF35" s="361"/>
      <c r="DG35" s="361"/>
      <c r="DH35" s="361"/>
      <c r="DI35" s="361"/>
      <c r="DJ35" s="361"/>
      <c r="DK35" s="361"/>
      <c r="DL35" s="361"/>
      <c r="DM35" s="361"/>
      <c r="DN35" s="361"/>
      <c r="DO35" s="361"/>
      <c r="DP35" s="361"/>
      <c r="DQ35" s="361"/>
      <c r="DR35" s="361"/>
      <c r="DS35" s="361"/>
      <c r="DT35" s="361"/>
      <c r="DU35" s="361"/>
      <c r="DV35" s="361"/>
      <c r="DW35" s="361"/>
      <c r="DX35" s="361"/>
      <c r="DY35" s="361"/>
      <c r="DZ35" s="361"/>
      <c r="EA35" s="361"/>
      <c r="EB35" s="361"/>
      <c r="EC35" s="361"/>
      <c r="ED35" s="361"/>
      <c r="EE35" s="361"/>
      <c r="EF35" s="361"/>
      <c r="EG35" s="361"/>
      <c r="EH35" s="361"/>
      <c r="EI35" s="361"/>
      <c r="EJ35" s="361"/>
      <c r="EK35" s="361"/>
      <c r="EL35" s="361"/>
      <c r="EM35" s="361"/>
      <c r="EN35" s="361"/>
      <c r="EO35" s="361"/>
      <c r="EP35" s="361"/>
      <c r="EQ35" s="361"/>
      <c r="ER35" s="361"/>
      <c r="ES35" s="361"/>
      <c r="ET35" s="361"/>
      <c r="EU35" s="361"/>
      <c r="EV35" s="361"/>
      <c r="EW35" s="361"/>
      <c r="EX35" s="361"/>
      <c r="EY35" s="361"/>
      <c r="EZ35" s="361"/>
      <c r="FA35" s="361"/>
      <c r="FB35" s="361"/>
      <c r="FC35" s="361"/>
      <c r="FD35" s="361"/>
      <c r="FE35" s="361"/>
      <c r="FF35" s="361"/>
      <c r="FG35" s="361"/>
      <c r="FH35" s="361"/>
      <c r="FI35" s="361"/>
      <c r="FJ35" s="361"/>
      <c r="FK35" s="361"/>
      <c r="FL35" s="361"/>
      <c r="FM35" s="361"/>
      <c r="FN35" s="361"/>
      <c r="FO35" s="361"/>
      <c r="FP35" s="361"/>
      <c r="FQ35" s="361"/>
      <c r="FR35" s="361"/>
      <c r="FS35" s="361"/>
      <c r="FT35" s="361"/>
      <c r="FU35" s="361"/>
      <c r="FV35" s="361"/>
      <c r="FW35" s="361"/>
      <c r="FX35" s="361"/>
      <c r="FY35" s="361"/>
      <c r="FZ35" s="361"/>
      <c r="GA35" s="361"/>
      <c r="GB35" s="361"/>
      <c r="GC35" s="361"/>
      <c r="GD35" s="361"/>
      <c r="GE35" s="361"/>
      <c r="GF35" s="361"/>
      <c r="GG35" s="361"/>
      <c r="GH35" s="361"/>
      <c r="GI35" s="361"/>
      <c r="GJ35" s="361"/>
      <c r="GK35" s="361"/>
      <c r="GL35" s="361"/>
      <c r="GM35" s="361"/>
      <c r="GN35" s="361"/>
      <c r="GO35" s="361"/>
      <c r="GP35" s="361"/>
      <c r="GQ35" s="361"/>
      <c r="GR35" s="361"/>
      <c r="GS35" s="361"/>
      <c r="GT35" s="361"/>
      <c r="GU35" s="361"/>
      <c r="GV35" s="361"/>
      <c r="GW35" s="361"/>
      <c r="GX35" s="361"/>
      <c r="GY35" s="361"/>
      <c r="GZ35" s="361"/>
      <c r="HA35" s="361"/>
      <c r="HB35" s="361"/>
      <c r="HC35" s="361"/>
      <c r="HD35" s="361"/>
      <c r="HE35" s="361"/>
      <c r="HF35" s="361"/>
      <c r="HG35" s="361"/>
      <c r="HH35" s="361"/>
      <c r="HI35" s="361"/>
      <c r="HJ35" s="361"/>
      <c r="HK35" s="361"/>
      <c r="HL35" s="361"/>
      <c r="HM35" s="361"/>
      <c r="HN35" s="361"/>
      <c r="HO35" s="361"/>
      <c r="HP35" s="361"/>
      <c r="HQ35" s="361"/>
      <c r="HR35" s="361"/>
      <c r="HS35" s="361"/>
      <c r="HT35" s="361"/>
      <c r="HU35" s="361"/>
      <c r="HV35" s="361"/>
      <c r="HW35" s="361"/>
      <c r="HX35" s="361"/>
      <c r="HY35" s="361"/>
      <c r="HZ35" s="361"/>
      <c r="IA35" s="361"/>
      <c r="IB35" s="361"/>
      <c r="IC35" s="361"/>
      <c r="ID35" s="361"/>
      <c r="IE35" s="361"/>
      <c r="IF35" s="361"/>
      <c r="IG35" s="361"/>
      <c r="IH35" s="361"/>
      <c r="II35" s="361"/>
      <c r="IJ35" s="361"/>
      <c r="IK35" s="361"/>
      <c r="IL35" s="361"/>
      <c r="IM35" s="361"/>
      <c r="IN35" s="361"/>
      <c r="IO35" s="361"/>
      <c r="IP35" s="361"/>
      <c r="IQ35" s="361"/>
      <c r="IR35" s="361"/>
      <c r="IS35" s="361"/>
      <c r="IT35" s="361"/>
      <c r="IU35" s="361"/>
      <c r="IV35" s="361"/>
      <c r="IW35" s="361"/>
      <c r="IX35" s="361"/>
      <c r="IY35" s="346" t="s">
        <v>90</v>
      </c>
      <c r="IZ35" s="346"/>
      <c r="JA35" s="346"/>
      <c r="JB35" s="346"/>
      <c r="JC35" s="346"/>
      <c r="JD35" s="346"/>
      <c r="JE35" s="361"/>
    </row>
    <row r="36" spans="1:267" s="175" customFormat="1" ht="13.95" customHeight="1" thickTop="1">
      <c r="A36" s="361"/>
      <c r="B36" s="367"/>
      <c r="C36" s="367"/>
      <c r="D36" s="367"/>
      <c r="E36" s="366"/>
      <c r="F36" s="366"/>
      <c r="G36" s="366"/>
      <c r="H36" s="366"/>
      <c r="I36" s="366"/>
      <c r="J36" s="361"/>
      <c r="K36" s="360"/>
      <c r="L36" s="360"/>
      <c r="M36" s="361"/>
      <c r="N36" s="361"/>
      <c r="IY36" s="346" t="s">
        <v>21</v>
      </c>
      <c r="IZ36" s="346"/>
      <c r="JA36" s="346"/>
      <c r="JB36" s="346"/>
      <c r="JC36" s="346"/>
      <c r="JD36" s="346"/>
      <c r="JE36" s="361"/>
    </row>
    <row r="37" spans="1:267" s="175" customFormat="1" ht="7.95" customHeight="1" thickBot="1">
      <c r="A37" s="361"/>
      <c r="B37" s="367"/>
      <c r="C37" s="367"/>
      <c r="D37" s="367"/>
      <c r="E37" s="366"/>
      <c r="F37" s="366"/>
      <c r="G37" s="366"/>
      <c r="H37" s="366"/>
      <c r="I37" s="366"/>
      <c r="J37" s="361"/>
      <c r="K37" s="360"/>
      <c r="L37" s="360"/>
      <c r="M37" s="361"/>
      <c r="N37" s="361"/>
      <c r="JE37" s="361"/>
    </row>
    <row r="38" spans="1:267" s="692" customFormat="1" ht="19.95" customHeight="1">
      <c r="A38" s="687"/>
      <c r="B38" s="688" t="s">
        <v>287</v>
      </c>
      <c r="C38" s="689"/>
      <c r="D38" s="689"/>
      <c r="E38" s="689"/>
      <c r="F38" s="689"/>
      <c r="G38" s="689"/>
      <c r="H38" s="689"/>
      <c r="I38" s="689"/>
      <c r="J38" s="689"/>
      <c r="K38" s="690"/>
      <c r="L38" s="691"/>
      <c r="M38" s="687"/>
      <c r="JD38" s="687"/>
    </row>
    <row r="39" spans="1:267" s="697" customFormat="1" ht="14.55" customHeight="1">
      <c r="A39" s="693"/>
      <c r="B39" s="694"/>
      <c r="C39" s="695"/>
      <c r="D39" s="695"/>
      <c r="E39" s="695"/>
      <c r="F39" s="695"/>
      <c r="G39" s="695"/>
      <c r="H39" s="695"/>
      <c r="I39" s="695"/>
      <c r="J39" s="695"/>
      <c r="K39" s="696"/>
      <c r="L39" s="691"/>
      <c r="M39" s="693"/>
      <c r="JD39" s="693"/>
      <c r="JG39" s="697" t="s">
        <v>288</v>
      </c>
    </row>
    <row r="40" spans="1:267" s="703" customFormat="1" ht="33.6" customHeight="1" thickBot="1">
      <c r="A40" s="698"/>
      <c r="B40" s="699" t="s">
        <v>41</v>
      </c>
      <c r="C40" s="700" t="s">
        <v>13</v>
      </c>
      <c r="D40" s="700" t="s">
        <v>35</v>
      </c>
      <c r="E40" s="701" t="s">
        <v>33</v>
      </c>
      <c r="F40" s="701" t="s">
        <v>15</v>
      </c>
      <c r="G40" s="701" t="s">
        <v>34</v>
      </c>
      <c r="H40" s="700" t="s">
        <v>32</v>
      </c>
      <c r="I40" s="700" t="s">
        <v>30</v>
      </c>
      <c r="J40" s="700" t="s">
        <v>76</v>
      </c>
      <c r="K40" s="702" t="s">
        <v>77</v>
      </c>
      <c r="L40" s="691"/>
      <c r="M40" s="698"/>
      <c r="JD40" s="698"/>
    </row>
    <row r="41" spans="1:267" ht="19.95" customHeight="1">
      <c r="A41" s="368"/>
      <c r="B41" s="454" t="s">
        <v>23</v>
      </c>
      <c r="C41" s="455" t="s">
        <v>153</v>
      </c>
      <c r="D41" s="456" t="s">
        <v>70</v>
      </c>
      <c r="E41" s="457">
        <f t="shared" ref="E41:E50" si="4">SUM(G77)</f>
        <v>35569.645200000006</v>
      </c>
      <c r="F41" s="452">
        <v>0</v>
      </c>
      <c r="G41" s="458">
        <f t="shared" ref="G41:G53" si="5">SUM(E41-F41)</f>
        <v>35569.645200000006</v>
      </c>
      <c r="H41" s="459">
        <v>0</v>
      </c>
      <c r="I41" s="460">
        <f>SUM(G41-H41)</f>
        <v>35569.645200000006</v>
      </c>
      <c r="J41" s="461" t="s">
        <v>88</v>
      </c>
      <c r="K41" s="462" t="s">
        <v>81</v>
      </c>
      <c r="L41" s="629"/>
      <c r="M41" s="368"/>
      <c r="JD41" s="368"/>
    </row>
    <row r="42" spans="1:267" ht="19.95" customHeight="1">
      <c r="A42" s="368"/>
      <c r="B42" s="463"/>
      <c r="C42" s="329" t="s">
        <v>153</v>
      </c>
      <c r="D42" s="197" t="s">
        <v>71</v>
      </c>
      <c r="E42" s="222">
        <f t="shared" si="4"/>
        <v>0</v>
      </c>
      <c r="F42" s="223"/>
      <c r="G42" s="224">
        <f t="shared" si="5"/>
        <v>0</v>
      </c>
      <c r="H42" s="198">
        <v>0</v>
      </c>
      <c r="I42" s="464">
        <f>SUM(G42-H42)</f>
        <v>0</v>
      </c>
      <c r="J42" s="199" t="s">
        <v>88</v>
      </c>
      <c r="K42" s="465" t="s">
        <v>82</v>
      </c>
      <c r="L42" s="629"/>
      <c r="M42" s="368"/>
      <c r="JD42" s="368"/>
    </row>
    <row r="43" spans="1:267" ht="19.95" customHeight="1">
      <c r="A43" s="368"/>
      <c r="B43" s="463"/>
      <c r="C43" s="329" t="s">
        <v>153</v>
      </c>
      <c r="D43" s="197" t="s">
        <v>73</v>
      </c>
      <c r="E43" s="228">
        <f t="shared" si="4"/>
        <v>7563.4320000000007</v>
      </c>
      <c r="F43" s="224">
        <v>0</v>
      </c>
      <c r="G43" s="224">
        <f t="shared" si="5"/>
        <v>7563.4320000000007</v>
      </c>
      <c r="H43" s="194">
        <v>0</v>
      </c>
      <c r="I43" s="464">
        <f>SUM(G43-H43)</f>
        <v>7563.4320000000007</v>
      </c>
      <c r="J43" s="199" t="s">
        <v>88</v>
      </c>
      <c r="K43" s="465" t="s">
        <v>84</v>
      </c>
      <c r="L43" s="629"/>
      <c r="M43" s="368"/>
      <c r="JD43" s="368"/>
    </row>
    <row r="44" spans="1:267" ht="19.95" customHeight="1">
      <c r="A44" s="368"/>
      <c r="B44" s="463"/>
      <c r="C44" s="345" t="s">
        <v>17</v>
      </c>
      <c r="D44" s="197" t="s">
        <v>74</v>
      </c>
      <c r="E44" s="228">
        <f t="shared" si="4"/>
        <v>5936.4</v>
      </c>
      <c r="F44" s="224">
        <v>0</v>
      </c>
      <c r="G44" s="224">
        <f t="shared" si="5"/>
        <v>5936.4</v>
      </c>
      <c r="H44" s="194">
        <v>0</v>
      </c>
      <c r="I44" s="464">
        <f t="shared" ref="I44:I50" si="6">SUM(G44-H44)</f>
        <v>5936.4</v>
      </c>
      <c r="J44" s="199" t="s">
        <v>88</v>
      </c>
      <c r="K44" s="466" t="s">
        <v>161</v>
      </c>
      <c r="L44" s="629"/>
      <c r="M44" s="368"/>
      <c r="JD44" s="368"/>
    </row>
    <row r="45" spans="1:267" ht="20.399999999999999" customHeight="1">
      <c r="A45" s="368"/>
      <c r="B45" s="463"/>
      <c r="C45" s="345" t="s">
        <v>17</v>
      </c>
      <c r="D45" s="197" t="s">
        <v>75</v>
      </c>
      <c r="E45" s="228">
        <f t="shared" si="4"/>
        <v>48725.330999999998</v>
      </c>
      <c r="F45" s="224">
        <v>0</v>
      </c>
      <c r="G45" s="224">
        <f t="shared" si="5"/>
        <v>48725.330999999998</v>
      </c>
      <c r="H45" s="194">
        <v>0</v>
      </c>
      <c r="I45" s="464">
        <f t="shared" si="6"/>
        <v>48725.330999999998</v>
      </c>
      <c r="J45" s="199" t="s">
        <v>88</v>
      </c>
      <c r="K45" s="466" t="s">
        <v>162</v>
      </c>
      <c r="L45" s="629"/>
      <c r="M45" s="368"/>
      <c r="JD45" s="368"/>
    </row>
    <row r="46" spans="1:267" ht="19.95" customHeight="1">
      <c r="A46" s="368"/>
      <c r="B46" s="463"/>
      <c r="C46" s="345" t="s">
        <v>17</v>
      </c>
      <c r="D46" s="197" t="s">
        <v>152</v>
      </c>
      <c r="E46" s="228">
        <f t="shared" si="4"/>
        <v>0</v>
      </c>
      <c r="F46" s="224">
        <v>0</v>
      </c>
      <c r="G46" s="224">
        <f t="shared" si="5"/>
        <v>0</v>
      </c>
      <c r="H46" s="194">
        <v>0</v>
      </c>
      <c r="I46" s="464">
        <f t="shared" si="6"/>
        <v>0</v>
      </c>
      <c r="J46" s="199" t="s">
        <v>88</v>
      </c>
      <c r="K46" s="466" t="s">
        <v>163</v>
      </c>
      <c r="L46" s="629"/>
      <c r="M46" s="368"/>
      <c r="JD46" s="368"/>
    </row>
    <row r="47" spans="1:267" ht="19.95" customHeight="1">
      <c r="A47" s="368"/>
      <c r="B47" s="463"/>
      <c r="C47" s="345" t="s">
        <v>17</v>
      </c>
      <c r="D47" s="197" t="s">
        <v>130</v>
      </c>
      <c r="E47" s="228">
        <f t="shared" si="4"/>
        <v>720</v>
      </c>
      <c r="F47" s="224">
        <v>0</v>
      </c>
      <c r="G47" s="224">
        <f t="shared" si="5"/>
        <v>720</v>
      </c>
      <c r="H47" s="194">
        <v>0</v>
      </c>
      <c r="I47" s="464">
        <f t="shared" si="6"/>
        <v>720</v>
      </c>
      <c r="J47" s="199" t="s">
        <v>88</v>
      </c>
      <c r="K47" s="466" t="s">
        <v>131</v>
      </c>
      <c r="L47" s="629"/>
      <c r="M47" s="368"/>
      <c r="JD47" s="368"/>
    </row>
    <row r="48" spans="1:267" ht="19.95" customHeight="1">
      <c r="A48" s="368"/>
      <c r="B48" s="463"/>
      <c r="C48" s="345" t="s">
        <v>17</v>
      </c>
      <c r="D48" s="197" t="s">
        <v>151</v>
      </c>
      <c r="E48" s="228">
        <f t="shared" si="4"/>
        <v>6006.0024000000003</v>
      </c>
      <c r="F48" s="224">
        <v>0</v>
      </c>
      <c r="G48" s="224">
        <f t="shared" si="5"/>
        <v>6006.0024000000003</v>
      </c>
      <c r="H48" s="194">
        <v>0</v>
      </c>
      <c r="I48" s="464">
        <f t="shared" si="6"/>
        <v>6006.0024000000003</v>
      </c>
      <c r="J48" s="199" t="s">
        <v>88</v>
      </c>
      <c r="K48" s="466" t="s">
        <v>164</v>
      </c>
      <c r="L48" s="629"/>
      <c r="M48" s="368"/>
      <c r="JD48" s="368"/>
    </row>
    <row r="49" spans="1:265" ht="19.95" customHeight="1">
      <c r="A49" s="368"/>
      <c r="B49" s="463"/>
      <c r="C49" s="329" t="s">
        <v>78</v>
      </c>
      <c r="D49" s="197" t="s">
        <v>72</v>
      </c>
      <c r="E49" s="228">
        <f t="shared" si="4"/>
        <v>270</v>
      </c>
      <c r="F49" s="224">
        <v>0</v>
      </c>
      <c r="G49" s="224">
        <f t="shared" si="5"/>
        <v>270</v>
      </c>
      <c r="H49" s="194">
        <v>0</v>
      </c>
      <c r="I49" s="464">
        <f t="shared" si="6"/>
        <v>270</v>
      </c>
      <c r="J49" s="199" t="s">
        <v>88</v>
      </c>
      <c r="K49" s="465" t="s">
        <v>83</v>
      </c>
      <c r="L49" s="629"/>
      <c r="M49" s="368"/>
      <c r="JD49" s="368"/>
    </row>
    <row r="50" spans="1:265" ht="19.95" customHeight="1" thickBot="1">
      <c r="A50" s="368"/>
      <c r="B50" s="463"/>
      <c r="C50" s="329" t="s">
        <v>78</v>
      </c>
      <c r="D50" s="197" t="s">
        <v>67</v>
      </c>
      <c r="E50" s="228">
        <f t="shared" si="4"/>
        <v>0</v>
      </c>
      <c r="F50" s="224">
        <v>0</v>
      </c>
      <c r="G50" s="224">
        <f t="shared" si="5"/>
        <v>0</v>
      </c>
      <c r="H50" s="194">
        <v>0</v>
      </c>
      <c r="I50" s="464">
        <f t="shared" si="6"/>
        <v>0</v>
      </c>
      <c r="J50" s="199" t="s">
        <v>88</v>
      </c>
      <c r="K50" s="465" t="s">
        <v>85</v>
      </c>
      <c r="L50" s="629"/>
      <c r="M50" s="368"/>
      <c r="JD50" s="368"/>
    </row>
    <row r="51" spans="1:265" ht="19.95" customHeight="1">
      <c r="A51" s="368"/>
      <c r="B51" s="467" t="s">
        <v>24</v>
      </c>
      <c r="C51" s="468" t="s">
        <v>215</v>
      </c>
      <c r="D51" s="456" t="s">
        <v>97</v>
      </c>
      <c r="E51" s="457">
        <f t="shared" ref="E51:E53" si="7">SUM(G91)</f>
        <v>6986.05404</v>
      </c>
      <c r="F51" s="458">
        <v>0</v>
      </c>
      <c r="G51" s="458">
        <f t="shared" si="5"/>
        <v>6986.05404</v>
      </c>
      <c r="H51" s="469">
        <v>0</v>
      </c>
      <c r="I51" s="460">
        <f>SUM(G51-H51)</f>
        <v>6986.05404</v>
      </c>
      <c r="J51" s="461" t="s">
        <v>88</v>
      </c>
      <c r="K51" s="470" t="s">
        <v>98</v>
      </c>
      <c r="L51" s="630"/>
      <c r="M51" s="368"/>
      <c r="JD51" s="368"/>
    </row>
    <row r="52" spans="1:265" ht="19.95" customHeight="1">
      <c r="A52" s="368"/>
      <c r="B52" s="471" t="s">
        <v>157</v>
      </c>
      <c r="C52" s="193" t="s">
        <v>153</v>
      </c>
      <c r="D52" s="197" t="s">
        <v>70</v>
      </c>
      <c r="E52" s="222">
        <f t="shared" si="7"/>
        <v>13972.10808</v>
      </c>
      <c r="F52" s="224">
        <v>0</v>
      </c>
      <c r="G52" s="224">
        <f t="shared" si="5"/>
        <v>13972.10808</v>
      </c>
      <c r="H52" s="194">
        <v>0</v>
      </c>
      <c r="I52" s="464">
        <f>SUM(G52-H52)</f>
        <v>13972.10808</v>
      </c>
      <c r="J52" s="199" t="s">
        <v>88</v>
      </c>
      <c r="K52" s="472" t="s">
        <v>81</v>
      </c>
      <c r="L52" s="630"/>
      <c r="M52" s="368"/>
      <c r="JD52" s="368"/>
    </row>
    <row r="53" spans="1:265" ht="19.95" customHeight="1" thickBot="1">
      <c r="A53" s="368"/>
      <c r="B53" s="481" t="s">
        <v>160</v>
      </c>
      <c r="C53" s="482" t="s">
        <v>215</v>
      </c>
      <c r="D53" s="790" t="s">
        <v>97</v>
      </c>
      <c r="E53" s="791">
        <f t="shared" si="7"/>
        <v>13972.10808</v>
      </c>
      <c r="F53" s="792">
        <v>0</v>
      </c>
      <c r="G53" s="792">
        <f t="shared" si="5"/>
        <v>13972.10808</v>
      </c>
      <c r="H53" s="793">
        <v>0</v>
      </c>
      <c r="I53" s="794">
        <f>SUM(G53-H53)</f>
        <v>13972.10808</v>
      </c>
      <c r="J53" s="795" t="s">
        <v>88</v>
      </c>
      <c r="K53" s="796" t="s">
        <v>98</v>
      </c>
      <c r="L53" s="630"/>
      <c r="M53" s="368"/>
      <c r="JD53" s="368"/>
    </row>
    <row r="54" spans="1:265" s="183" customFormat="1" ht="19.95" customHeight="1" thickBot="1">
      <c r="A54" s="369"/>
      <c r="B54" s="780"/>
      <c r="C54" s="781"/>
      <c r="D54" s="782"/>
      <c r="E54" s="783">
        <f>SUM(E41:E53)</f>
        <v>139721.0808</v>
      </c>
      <c r="F54" s="784"/>
      <c r="G54" s="785">
        <f>SUM(G41:G53)</f>
        <v>139721.0808</v>
      </c>
      <c r="H54" s="786"/>
      <c r="I54" s="787">
        <f>SUM(I41:I53)</f>
        <v>139721.0808</v>
      </c>
      <c r="J54" s="788"/>
      <c r="K54" s="789"/>
      <c r="L54" s="631"/>
      <c r="M54" s="369"/>
      <c r="JD54" s="369"/>
    </row>
    <row r="55" spans="1:265" ht="16.2" thickTop="1">
      <c r="A55" s="368"/>
      <c r="B55" s="370"/>
      <c r="C55" s="370"/>
      <c r="D55" s="371"/>
      <c r="E55" s="372"/>
      <c r="F55" s="373"/>
      <c r="G55" s="373"/>
      <c r="H55" s="186"/>
      <c r="I55" s="368"/>
      <c r="J55" s="368"/>
      <c r="K55" s="368"/>
      <c r="L55" s="368"/>
      <c r="M55" s="368"/>
      <c r="N55" s="368"/>
      <c r="JE55" s="368"/>
    </row>
    <row r="56" spans="1:265" ht="15.6">
      <c r="A56" s="368"/>
      <c r="B56" s="370"/>
      <c r="C56" s="370"/>
      <c r="D56" s="371"/>
      <c r="E56" s="372"/>
      <c r="F56" s="373"/>
      <c r="G56" s="373"/>
      <c r="H56" s="373"/>
      <c r="I56" s="373"/>
      <c r="J56" s="368"/>
      <c r="K56" s="368"/>
      <c r="L56" s="368"/>
      <c r="M56" s="368"/>
      <c r="N56" s="368"/>
      <c r="JE56" s="368"/>
    </row>
    <row r="57" spans="1:265" s="175" customFormat="1" ht="14.55" customHeight="1">
      <c r="A57" s="361"/>
      <c r="B57" s="361"/>
      <c r="C57" s="361"/>
      <c r="D57" s="361"/>
      <c r="E57" s="374"/>
      <c r="F57" s="374"/>
      <c r="G57" s="374"/>
      <c r="H57" s="374"/>
      <c r="I57" s="368"/>
      <c r="J57" s="368"/>
      <c r="K57" s="368"/>
      <c r="L57" s="368"/>
      <c r="M57" s="368"/>
      <c r="N57" s="368"/>
      <c r="JE57" s="361"/>
    </row>
    <row r="58" spans="1:265" ht="13.8">
      <c r="A58" s="368"/>
      <c r="B58" s="368"/>
      <c r="C58" s="368"/>
      <c r="D58" s="368"/>
      <c r="E58" s="186"/>
      <c r="F58" s="186"/>
      <c r="G58" s="186"/>
      <c r="H58" s="186"/>
      <c r="I58" s="368"/>
      <c r="J58" s="368"/>
      <c r="K58" s="368"/>
      <c r="L58" s="368"/>
      <c r="M58" s="368"/>
      <c r="N58" s="368"/>
      <c r="JE58" s="368"/>
    </row>
    <row r="59" spans="1:265" ht="13.8">
      <c r="A59" s="368"/>
      <c r="B59" s="368"/>
      <c r="C59" s="368"/>
      <c r="D59" s="368"/>
      <c r="E59" s="186"/>
      <c r="F59" s="186"/>
      <c r="G59" s="186"/>
      <c r="H59" s="186"/>
      <c r="I59" s="368"/>
      <c r="J59" s="368"/>
      <c r="K59" s="368"/>
      <c r="L59" s="368"/>
      <c r="M59" s="368"/>
      <c r="N59" s="368"/>
      <c r="JE59" s="368"/>
    </row>
    <row r="60" spans="1:265" ht="13.8">
      <c r="A60" s="368"/>
      <c r="B60" s="368"/>
      <c r="C60" s="368"/>
      <c r="D60" s="368"/>
      <c r="E60" s="186"/>
      <c r="F60" s="186"/>
      <c r="G60" s="186"/>
      <c r="H60" s="186"/>
      <c r="I60" s="368"/>
      <c r="J60" s="368"/>
      <c r="K60" s="368"/>
      <c r="L60" s="368"/>
      <c r="M60" s="368"/>
      <c r="N60" s="368"/>
      <c r="JE60" s="368"/>
    </row>
    <row r="61" spans="1:265" ht="13.8">
      <c r="A61" s="368"/>
      <c r="B61" s="368"/>
      <c r="C61" s="368"/>
      <c r="D61" s="368"/>
      <c r="E61" s="186"/>
      <c r="F61" s="186"/>
      <c r="G61" s="186"/>
      <c r="H61" s="186"/>
      <c r="I61" s="368"/>
      <c r="J61" s="368"/>
      <c r="K61" s="368"/>
      <c r="L61" s="368"/>
      <c r="M61" s="368"/>
      <c r="N61" s="368"/>
      <c r="JE61" s="368"/>
    </row>
    <row r="62" spans="1:265" ht="13.8">
      <c r="A62" s="368"/>
      <c r="B62" s="368"/>
      <c r="C62" s="368"/>
      <c r="D62" s="368"/>
      <c r="E62" s="186"/>
      <c r="F62" s="186"/>
      <c r="G62" s="186"/>
      <c r="H62" s="186"/>
      <c r="I62" s="368"/>
      <c r="J62" s="368"/>
      <c r="K62" s="368"/>
      <c r="L62" s="368"/>
      <c r="M62" s="368"/>
      <c r="N62" s="368"/>
      <c r="JE62" s="368"/>
    </row>
    <row r="63" spans="1:265" ht="13.8">
      <c r="A63" s="368"/>
      <c r="B63" s="368"/>
      <c r="C63" s="368"/>
      <c r="D63" s="368"/>
      <c r="E63" s="186"/>
      <c r="F63" s="186"/>
      <c r="G63" s="186"/>
      <c r="H63" s="186"/>
      <c r="I63" s="368"/>
      <c r="J63" s="368"/>
      <c r="K63" s="368"/>
      <c r="L63" s="368"/>
      <c r="M63" s="368"/>
      <c r="N63" s="368"/>
      <c r="JE63" s="368"/>
    </row>
    <row r="64" spans="1:265" ht="13.8">
      <c r="A64" s="368"/>
      <c r="B64" s="368"/>
      <c r="C64" s="368"/>
      <c r="D64" s="368"/>
      <c r="E64" s="186"/>
      <c r="F64" s="186"/>
      <c r="G64" s="186"/>
      <c r="H64" s="186"/>
      <c r="I64" s="368"/>
      <c r="J64" s="368"/>
      <c r="K64" s="368"/>
      <c r="L64" s="368"/>
      <c r="M64" s="368"/>
      <c r="N64" s="368"/>
      <c r="JE64" s="368"/>
    </row>
    <row r="65" spans="1:265" ht="13.8">
      <c r="A65" s="368"/>
      <c r="B65" s="368"/>
      <c r="C65" s="368"/>
      <c r="D65" s="368"/>
      <c r="E65" s="186"/>
      <c r="F65" s="186"/>
      <c r="G65" s="186"/>
      <c r="H65" s="186"/>
      <c r="I65" s="368"/>
      <c r="J65" s="368"/>
      <c r="K65" s="368"/>
      <c r="L65" s="368"/>
      <c r="M65" s="368"/>
      <c r="N65" s="368"/>
      <c r="JE65" s="368"/>
    </row>
    <row r="66" spans="1:265" ht="13.8">
      <c r="A66" s="368"/>
      <c r="B66" s="368"/>
      <c r="C66" s="368"/>
      <c r="D66" s="368"/>
      <c r="E66" s="186"/>
      <c r="F66" s="186"/>
      <c r="G66" s="186"/>
      <c r="H66" s="186"/>
      <c r="I66" s="368"/>
      <c r="J66" s="368"/>
      <c r="K66" s="368"/>
      <c r="L66" s="368"/>
      <c r="M66" s="368"/>
      <c r="N66" s="368"/>
      <c r="JE66" s="368"/>
    </row>
    <row r="67" spans="1:265" ht="13.8">
      <c r="A67" s="368"/>
      <c r="B67" s="368"/>
      <c r="C67" s="368"/>
      <c r="D67" s="368"/>
      <c r="E67" s="186"/>
      <c r="F67" s="186"/>
      <c r="G67" s="186"/>
      <c r="H67" s="186"/>
      <c r="I67" s="368"/>
      <c r="J67" s="368"/>
      <c r="K67" s="368"/>
      <c r="L67" s="368"/>
      <c r="M67" s="368"/>
      <c r="N67" s="368"/>
      <c r="JE67" s="368"/>
    </row>
    <row r="68" spans="1:265" ht="13.8">
      <c r="A68" s="368"/>
      <c r="B68" s="368"/>
      <c r="C68" s="368"/>
      <c r="D68" s="368"/>
      <c r="E68" s="186"/>
      <c r="F68" s="186"/>
      <c r="G68" s="186"/>
      <c r="H68" s="186"/>
      <c r="I68" s="368"/>
      <c r="J68" s="368"/>
      <c r="K68" s="368"/>
      <c r="L68" s="368"/>
      <c r="M68" s="368"/>
      <c r="N68" s="368"/>
      <c r="JE68" s="368"/>
    </row>
    <row r="69" spans="1:265" ht="13.8">
      <c r="A69" s="368"/>
      <c r="B69" s="368"/>
      <c r="C69" s="368"/>
      <c r="D69" s="368"/>
      <c r="E69" s="186"/>
      <c r="F69" s="186"/>
      <c r="G69" s="186"/>
      <c r="H69" s="186"/>
      <c r="I69" s="368"/>
      <c r="J69" s="368"/>
      <c r="K69" s="368"/>
      <c r="L69" s="368"/>
      <c r="M69" s="368"/>
      <c r="N69" s="368"/>
      <c r="JE69" s="368"/>
    </row>
    <row r="70" spans="1:265" ht="13.8">
      <c r="A70" s="368"/>
      <c r="B70" s="368"/>
      <c r="C70" s="368"/>
      <c r="D70" s="368"/>
      <c r="E70" s="186"/>
      <c r="F70" s="186"/>
      <c r="G70" s="186"/>
      <c r="H70" s="186"/>
      <c r="I70" s="368"/>
      <c r="J70" s="368"/>
      <c r="K70" s="368"/>
      <c r="L70" s="368"/>
      <c r="M70" s="368"/>
      <c r="N70" s="368"/>
      <c r="JE70" s="368"/>
    </row>
    <row r="71" spans="1:265" ht="13.8">
      <c r="A71" s="368"/>
      <c r="B71" s="368"/>
      <c r="C71" s="368"/>
      <c r="D71" s="368"/>
      <c r="E71" s="186"/>
      <c r="F71" s="186"/>
      <c r="G71" s="186"/>
      <c r="H71" s="186"/>
      <c r="I71" s="368"/>
      <c r="J71" s="368"/>
      <c r="K71" s="368"/>
      <c r="L71" s="368"/>
      <c r="M71" s="368"/>
      <c r="N71" s="368"/>
      <c r="JE71" s="368"/>
    </row>
    <row r="72" spans="1:265" ht="13.8">
      <c r="A72" s="368"/>
      <c r="B72" s="368"/>
      <c r="C72" s="368"/>
      <c r="D72" s="368"/>
      <c r="E72" s="186"/>
      <c r="F72" s="186"/>
      <c r="G72" s="186"/>
      <c r="H72" s="186"/>
      <c r="I72" s="368"/>
      <c r="J72" s="368"/>
      <c r="K72" s="368"/>
      <c r="L72" s="368"/>
      <c r="M72" s="368"/>
      <c r="N72" s="368"/>
      <c r="JE72" s="368"/>
    </row>
    <row r="73" spans="1:265" ht="13.8" hidden="1">
      <c r="A73" s="368"/>
      <c r="B73" s="368"/>
      <c r="C73" s="368"/>
      <c r="D73" s="368"/>
      <c r="E73" s="186"/>
      <c r="F73" s="186"/>
      <c r="G73" s="186"/>
      <c r="H73" s="186"/>
      <c r="I73" s="368"/>
      <c r="J73" s="368"/>
      <c r="K73" s="368"/>
      <c r="L73" s="368"/>
      <c r="M73" s="368"/>
      <c r="N73" s="368"/>
      <c r="JE73" s="368"/>
    </row>
    <row r="74" spans="1:265" ht="13.2" hidden="1" customHeight="1" thickBot="1">
      <c r="A74" s="368"/>
      <c r="B74" s="368"/>
      <c r="C74" s="368"/>
      <c r="D74" s="368"/>
      <c r="E74" s="186"/>
      <c r="F74" s="186"/>
      <c r="G74" s="186"/>
      <c r="H74" s="186"/>
      <c r="I74" s="368"/>
      <c r="J74" s="368"/>
      <c r="K74" s="368"/>
      <c r="L74" s="368"/>
      <c r="M74" s="368"/>
      <c r="N74" s="368"/>
      <c r="JE74" s="368"/>
    </row>
    <row r="75" spans="1:265" ht="19.95" hidden="1" customHeight="1">
      <c r="A75" s="368"/>
      <c r="B75" s="497" t="s">
        <v>80</v>
      </c>
      <c r="C75" s="498"/>
      <c r="D75" s="498"/>
      <c r="E75" s="498"/>
      <c r="F75" s="498"/>
      <c r="G75" s="499"/>
      <c r="H75" s="375"/>
      <c r="I75" s="376" t="s">
        <v>158</v>
      </c>
      <c r="J75" s="368"/>
      <c r="K75" s="368"/>
      <c r="L75" s="368"/>
      <c r="M75" s="368"/>
      <c r="N75" s="368"/>
      <c r="JE75" s="368"/>
    </row>
    <row r="76" spans="1:265" ht="22.2" hidden="1" customHeight="1" thickBot="1">
      <c r="A76" s="368"/>
      <c r="B76" s="500" t="s">
        <v>41</v>
      </c>
      <c r="C76" s="501" t="s">
        <v>13</v>
      </c>
      <c r="D76" s="501" t="s">
        <v>14</v>
      </c>
      <c r="E76" s="502" t="s">
        <v>22</v>
      </c>
      <c r="F76" s="502" t="s">
        <v>15</v>
      </c>
      <c r="G76" s="503" t="s">
        <v>16</v>
      </c>
      <c r="H76" s="375"/>
      <c r="I76" s="375"/>
      <c r="J76" s="368"/>
      <c r="K76" s="368"/>
      <c r="L76" s="368"/>
      <c r="M76" s="368"/>
      <c r="N76" s="368"/>
      <c r="JE76" s="368"/>
    </row>
    <row r="77" spans="1:265" ht="22.2" hidden="1" customHeight="1">
      <c r="A77" s="368"/>
      <c r="B77" s="492" t="s">
        <v>23</v>
      </c>
      <c r="C77" s="493" t="s">
        <v>153</v>
      </c>
      <c r="D77" s="475" t="s">
        <v>70</v>
      </c>
      <c r="E77" s="474">
        <v>0.75</v>
      </c>
      <c r="F77" s="476">
        <v>0</v>
      </c>
      <c r="G77" s="477">
        <f>SUMIF($C4:$C35,"คุณนิมิต จุ้ยอยู่ทอง",$H4:$H35)*E77</f>
        <v>35569.645200000006</v>
      </c>
      <c r="H77" s="377"/>
      <c r="I77" s="375"/>
      <c r="J77" s="368"/>
      <c r="K77" s="368"/>
      <c r="L77" s="368"/>
      <c r="M77" s="368"/>
      <c r="N77" s="368"/>
      <c r="JE77" s="368"/>
    </row>
    <row r="78" spans="1:265" ht="22.2" hidden="1" customHeight="1">
      <c r="A78" s="368"/>
      <c r="B78" s="494"/>
      <c r="C78" s="486" t="s">
        <v>153</v>
      </c>
      <c r="D78" s="378" t="s">
        <v>71</v>
      </c>
      <c r="E78" s="379">
        <v>0.75</v>
      </c>
      <c r="F78" s="479">
        <v>0</v>
      </c>
      <c r="G78" s="480">
        <f>SUMIF($C5:$C36,"คุณธวัช มีแสง",$H5:$H36)*E78</f>
        <v>0</v>
      </c>
      <c r="H78" s="377"/>
      <c r="I78" s="375"/>
      <c r="J78" s="368"/>
      <c r="K78" s="368"/>
      <c r="L78" s="368"/>
      <c r="M78" s="368"/>
      <c r="N78" s="368"/>
      <c r="JE78" s="368"/>
    </row>
    <row r="79" spans="1:265" ht="22.2" hidden="1" customHeight="1">
      <c r="A79" s="368"/>
      <c r="B79" s="494"/>
      <c r="C79" s="486" t="s">
        <v>153</v>
      </c>
      <c r="D79" s="378" t="s">
        <v>73</v>
      </c>
      <c r="E79" s="379">
        <v>0.75</v>
      </c>
      <c r="F79" s="479">
        <v>0</v>
      </c>
      <c r="G79" s="480">
        <f>SUMIF($C5:$C35,"คุณนิยนต์ อยู่ทะเล",$H5:$H35)*E79</f>
        <v>7563.4320000000007</v>
      </c>
      <c r="H79" s="377"/>
      <c r="I79" s="375"/>
      <c r="J79" s="368"/>
      <c r="K79" s="368"/>
      <c r="L79" s="368"/>
      <c r="M79" s="368"/>
      <c r="N79" s="368"/>
      <c r="JE79" s="368"/>
    </row>
    <row r="80" spans="1:265" ht="22.2" hidden="1" customHeight="1">
      <c r="A80" s="368"/>
      <c r="B80" s="494"/>
      <c r="C80" s="486" t="s">
        <v>17</v>
      </c>
      <c r="D80" s="378" t="s">
        <v>74</v>
      </c>
      <c r="E80" s="379">
        <v>0.75</v>
      </c>
      <c r="F80" s="479">
        <v>0</v>
      </c>
      <c r="G80" s="480">
        <f>SUMIF($C5:$C35,"คุณจินตนา อ้อยหวาน",$H5:$H35)*E80</f>
        <v>5936.4</v>
      </c>
      <c r="H80" s="377"/>
      <c r="I80" s="375"/>
      <c r="J80" s="368"/>
      <c r="K80" s="368"/>
      <c r="L80" s="368"/>
      <c r="M80" s="368"/>
      <c r="N80" s="368"/>
      <c r="JE80" s="368"/>
    </row>
    <row r="81" spans="1:265" ht="22.2" hidden="1" customHeight="1">
      <c r="A81" s="368"/>
      <c r="B81" s="494"/>
      <c r="C81" s="486" t="s">
        <v>17</v>
      </c>
      <c r="D81" s="378" t="s">
        <v>75</v>
      </c>
      <c r="E81" s="379">
        <v>0.75</v>
      </c>
      <c r="F81" s="479">
        <v>0</v>
      </c>
      <c r="G81" s="480">
        <f>SUMIF($C5:$C35,"คุณพัชรพรรณ พึ่งพา",$H5:$H35)*E81</f>
        <v>48725.330999999998</v>
      </c>
      <c r="H81" s="377"/>
      <c r="I81" s="375"/>
      <c r="J81" s="368"/>
      <c r="K81" s="368"/>
      <c r="L81" s="368"/>
      <c r="M81" s="368"/>
      <c r="N81" s="368"/>
      <c r="JE81" s="368"/>
    </row>
    <row r="82" spans="1:265" ht="22.2" hidden="1" customHeight="1">
      <c r="A82" s="368"/>
      <c r="B82" s="494"/>
      <c r="C82" s="486" t="s">
        <v>17</v>
      </c>
      <c r="D82" s="378" t="s">
        <v>152</v>
      </c>
      <c r="E82" s="379">
        <v>0.75</v>
      </c>
      <c r="F82" s="479">
        <v>0</v>
      </c>
      <c r="G82" s="480">
        <f>SUMIF($C5:$C37,"คุณนรินทร์ ปิงมูล",$H5:$H40)*E82</f>
        <v>0</v>
      </c>
      <c r="H82" s="377"/>
      <c r="I82" s="375"/>
      <c r="J82" s="368"/>
      <c r="K82" s="368"/>
      <c r="L82" s="368"/>
      <c r="M82" s="368"/>
      <c r="N82" s="368"/>
      <c r="P82" s="344" t="s">
        <v>159</v>
      </c>
      <c r="JE82" s="368"/>
    </row>
    <row r="83" spans="1:265" ht="22.2" hidden="1" customHeight="1">
      <c r="A83" s="368"/>
      <c r="B83" s="494"/>
      <c r="C83" s="486" t="s">
        <v>17</v>
      </c>
      <c r="D83" s="378" t="s">
        <v>130</v>
      </c>
      <c r="E83" s="379">
        <v>0.75</v>
      </c>
      <c r="F83" s="479">
        <v>0</v>
      </c>
      <c r="G83" s="480">
        <f>SUMIF($C5:$C35,"คุณชนัฐฎา สนคะมี",$H5:$H35)*E83</f>
        <v>720</v>
      </c>
      <c r="H83" s="377"/>
      <c r="I83" s="375"/>
      <c r="J83" s="368"/>
      <c r="K83" s="368"/>
      <c r="L83" s="368"/>
      <c r="M83" s="368"/>
      <c r="N83" s="368"/>
      <c r="JE83" s="368"/>
    </row>
    <row r="84" spans="1:265" ht="22.2" hidden="1" customHeight="1">
      <c r="A84" s="368"/>
      <c r="B84" s="494"/>
      <c r="C84" s="486" t="s">
        <v>17</v>
      </c>
      <c r="D84" s="378" t="s">
        <v>151</v>
      </c>
      <c r="E84" s="379">
        <v>0.75</v>
      </c>
      <c r="F84" s="479">
        <v>0</v>
      </c>
      <c r="G84" s="480">
        <f>SUMIF($C6:$C36,"คุณจิรภิญญา เป็นปึก",$H6:$H36)*E84</f>
        <v>6006.0024000000003</v>
      </c>
      <c r="H84" s="377"/>
      <c r="I84" s="375"/>
      <c r="J84" s="368"/>
      <c r="K84" s="368"/>
      <c r="L84" s="368"/>
      <c r="M84" s="368"/>
      <c r="N84" s="368"/>
      <c r="P84" s="343" t="s">
        <v>159</v>
      </c>
      <c r="JE84" s="368"/>
    </row>
    <row r="85" spans="1:265" ht="22.2" hidden="1" customHeight="1">
      <c r="A85" s="368"/>
      <c r="B85" s="494"/>
      <c r="C85" s="486" t="s">
        <v>78</v>
      </c>
      <c r="D85" s="378" t="s">
        <v>72</v>
      </c>
      <c r="E85" s="379">
        <v>0.75</v>
      </c>
      <c r="F85" s="479">
        <v>0</v>
      </c>
      <c r="G85" s="480">
        <f>SUMIF($C5:$C35,"คุณแดง มูลสองแคว",$H5:$H35)*E85</f>
        <v>270</v>
      </c>
      <c r="H85" s="377"/>
      <c r="I85" s="375"/>
      <c r="J85" s="368"/>
      <c r="K85" s="368"/>
      <c r="L85" s="368"/>
      <c r="M85" s="368"/>
      <c r="N85" s="368"/>
      <c r="JE85" s="368"/>
    </row>
    <row r="86" spans="1:265" ht="22.2" hidden="1" customHeight="1">
      <c r="A86" s="368"/>
      <c r="B86" s="494"/>
      <c r="C86" s="486" t="s">
        <v>78</v>
      </c>
      <c r="D86" s="378" t="s">
        <v>67</v>
      </c>
      <c r="E86" s="379">
        <v>0.75</v>
      </c>
      <c r="F86" s="479">
        <v>0</v>
      </c>
      <c r="G86" s="480">
        <f>SUMIF($C6:$C36,"คุณรุ่งอรุณ อินบุญรอด",$H6:$H36)*E86</f>
        <v>0</v>
      </c>
      <c r="H86" s="377"/>
      <c r="I86" s="375"/>
      <c r="J86" s="368"/>
      <c r="K86" s="368"/>
      <c r="L86" s="368"/>
      <c r="M86" s="368"/>
      <c r="N86" s="368"/>
      <c r="JE86" s="368"/>
    </row>
    <row r="87" spans="1:265" ht="22.2" hidden="1" customHeight="1">
      <c r="A87" s="368"/>
      <c r="B87" s="494"/>
      <c r="C87" s="486" t="s">
        <v>78</v>
      </c>
      <c r="D87" s="378" t="s">
        <v>68</v>
      </c>
      <c r="E87" s="379">
        <v>0.75</v>
      </c>
      <c r="F87" s="479">
        <v>0</v>
      </c>
      <c r="G87" s="480">
        <f>SUMIF($C7:$C37,"คุณศศินาถ จุ้ยอยู่ทอง",$H7:$H37)*E87</f>
        <v>0</v>
      </c>
      <c r="H87" s="377"/>
      <c r="I87" s="375"/>
      <c r="J87" s="368"/>
      <c r="K87" s="368"/>
      <c r="L87" s="368"/>
      <c r="M87" s="368"/>
      <c r="N87" s="368"/>
      <c r="JE87" s="368"/>
    </row>
    <row r="88" spans="1:265" ht="22.2" hidden="1" customHeight="1">
      <c r="A88" s="368"/>
      <c r="B88" s="494"/>
      <c r="C88" s="486" t="s">
        <v>78</v>
      </c>
      <c r="D88" s="378" t="s">
        <v>90</v>
      </c>
      <c r="E88" s="379">
        <v>0.75</v>
      </c>
      <c r="F88" s="479">
        <v>0</v>
      </c>
      <c r="G88" s="480">
        <f>SUMIF($C8:$C38,"คุณณรงศ์ศักย์ เหล่ารัตนเวช",$H8:$H38)*E88</f>
        <v>0</v>
      </c>
      <c r="H88" s="377"/>
      <c r="I88" s="375"/>
      <c r="J88" s="368"/>
      <c r="K88" s="368"/>
      <c r="L88" s="368"/>
      <c r="M88" s="368"/>
      <c r="N88" s="368"/>
      <c r="JE88" s="368"/>
    </row>
    <row r="89" spans="1:265" ht="22.2" hidden="1" customHeight="1">
      <c r="A89" s="368"/>
      <c r="B89" s="494"/>
      <c r="C89" s="486" t="s">
        <v>78</v>
      </c>
      <c r="D89" s="378" t="s">
        <v>69</v>
      </c>
      <c r="E89" s="379">
        <v>0.75</v>
      </c>
      <c r="F89" s="479">
        <v>0</v>
      </c>
      <c r="G89" s="480">
        <f>SUMIF($C9:$C39,"คุณธัญลักษณ์ หมื่นหลุบกุง",$H9:$H39)*E89</f>
        <v>0</v>
      </c>
      <c r="H89" s="377"/>
      <c r="I89" s="375"/>
      <c r="J89" s="368"/>
      <c r="K89" s="368"/>
      <c r="L89" s="368"/>
      <c r="M89" s="368"/>
      <c r="N89" s="368"/>
      <c r="JE89" s="368"/>
    </row>
    <row r="90" spans="1:265" ht="22.2" hidden="1" customHeight="1" thickBot="1">
      <c r="A90" s="368"/>
      <c r="B90" s="495"/>
      <c r="C90" s="496" t="s">
        <v>18</v>
      </c>
      <c r="D90" s="483" t="s">
        <v>21</v>
      </c>
      <c r="E90" s="482">
        <v>0.6</v>
      </c>
      <c r="F90" s="484">
        <v>0</v>
      </c>
      <c r="G90" s="485">
        <f>SUMIF($C10:$C40,"คุณจันทราภรณ์ สุภาพวนิช",$H10:$H40)*E90</f>
        <v>0</v>
      </c>
      <c r="H90" s="377"/>
      <c r="I90" s="375"/>
      <c r="J90" s="368"/>
      <c r="K90" s="368"/>
      <c r="L90" s="368"/>
      <c r="M90" s="368"/>
      <c r="N90" s="368"/>
      <c r="JE90" s="368"/>
    </row>
    <row r="91" spans="1:265" ht="22.2" hidden="1" customHeight="1">
      <c r="A91" s="368"/>
      <c r="B91" s="487" t="s">
        <v>24</v>
      </c>
      <c r="C91" s="488" t="s">
        <v>61</v>
      </c>
      <c r="D91" s="489" t="s">
        <v>97</v>
      </c>
      <c r="E91" s="488">
        <v>0.05</v>
      </c>
      <c r="F91" s="490">
        <v>0</v>
      </c>
      <c r="G91" s="491">
        <f>$H$35*E91</f>
        <v>6986.05404</v>
      </c>
      <c r="H91" s="375"/>
      <c r="I91" s="375"/>
      <c r="J91" s="368"/>
      <c r="K91" s="368"/>
      <c r="L91" s="368"/>
      <c r="M91" s="368"/>
      <c r="N91" s="368"/>
      <c r="JE91" s="368"/>
    </row>
    <row r="92" spans="1:265" ht="22.2" hidden="1" customHeight="1">
      <c r="A92" s="368"/>
      <c r="B92" s="478" t="s">
        <v>157</v>
      </c>
      <c r="C92" s="379" t="s">
        <v>153</v>
      </c>
      <c r="D92" s="378" t="s">
        <v>70</v>
      </c>
      <c r="E92" s="379">
        <v>0.1</v>
      </c>
      <c r="F92" s="479">
        <v>0</v>
      </c>
      <c r="G92" s="480">
        <f>$H$35*E92</f>
        <v>13972.10808</v>
      </c>
      <c r="H92" s="375"/>
      <c r="I92" s="375"/>
      <c r="J92" s="368"/>
      <c r="K92" s="368"/>
      <c r="L92" s="368"/>
      <c r="M92" s="368"/>
      <c r="N92" s="368"/>
      <c r="JE92" s="368"/>
    </row>
    <row r="93" spans="1:265" ht="22.2" hidden="1" customHeight="1" thickBot="1">
      <c r="A93" s="368"/>
      <c r="B93" s="481" t="s">
        <v>160</v>
      </c>
      <c r="C93" s="482" t="s">
        <v>215</v>
      </c>
      <c r="D93" s="483" t="s">
        <v>97</v>
      </c>
      <c r="E93" s="482">
        <v>0.1</v>
      </c>
      <c r="F93" s="484">
        <v>0</v>
      </c>
      <c r="G93" s="485">
        <f>$H$35*E93</f>
        <v>13972.10808</v>
      </c>
      <c r="H93" s="375"/>
      <c r="I93" s="375"/>
      <c r="J93" s="368"/>
      <c r="K93" s="368"/>
      <c r="L93" s="368"/>
      <c r="M93" s="368"/>
      <c r="N93" s="368"/>
      <c r="JE93" s="368"/>
    </row>
    <row r="94" spans="1:265" ht="18.600000000000001" hidden="1" customHeight="1" thickBot="1">
      <c r="A94" s="368"/>
      <c r="B94" s="370"/>
      <c r="C94" s="370"/>
      <c r="D94" s="371"/>
      <c r="E94" s="372"/>
      <c r="F94" s="373"/>
      <c r="G94" s="473">
        <f>SUM(G77:G93)</f>
        <v>139721.0808</v>
      </c>
      <c r="H94" s="375"/>
      <c r="I94" s="368"/>
      <c r="J94" s="368"/>
      <c r="K94" s="368"/>
      <c r="L94" s="368"/>
      <c r="M94" s="368"/>
      <c r="N94" s="368"/>
      <c r="JE94" s="368"/>
    </row>
    <row r="95" spans="1:265" ht="13.8" hidden="1">
      <c r="A95" s="368"/>
      <c r="B95" s="368"/>
      <c r="C95" s="368"/>
      <c r="D95" s="368"/>
      <c r="E95" s="186"/>
      <c r="F95" s="186"/>
      <c r="G95" s="186"/>
      <c r="H95" s="375"/>
      <c r="I95" s="186"/>
      <c r="J95" s="368"/>
      <c r="K95" s="368"/>
      <c r="L95" s="368"/>
      <c r="M95" s="368"/>
      <c r="N95" s="368"/>
      <c r="JE95" s="368"/>
    </row>
    <row r="96" spans="1:265" ht="13.8">
      <c r="A96" s="368"/>
      <c r="B96" s="368"/>
      <c r="C96" s="368"/>
      <c r="D96" s="368"/>
      <c r="E96" s="186"/>
      <c r="F96" s="186"/>
      <c r="G96" s="186"/>
      <c r="H96" s="375"/>
      <c r="I96" s="186"/>
      <c r="J96" s="368"/>
      <c r="K96" s="368"/>
      <c r="L96" s="368"/>
      <c r="M96" s="368"/>
      <c r="N96" s="368"/>
      <c r="JE96" s="368"/>
    </row>
    <row r="97" spans="1:265" ht="13.8">
      <c r="A97" s="368"/>
      <c r="B97" s="368"/>
      <c r="C97" s="368"/>
      <c r="D97" s="368"/>
      <c r="E97" s="186"/>
      <c r="F97" s="186"/>
      <c r="G97" s="186"/>
      <c r="H97" s="375"/>
      <c r="I97" s="186"/>
      <c r="J97" s="368"/>
      <c r="K97" s="368"/>
      <c r="L97" s="368"/>
      <c r="M97" s="368"/>
      <c r="N97" s="368"/>
      <c r="JE97" s="368"/>
    </row>
    <row r="98" spans="1:265" ht="13.8">
      <c r="E98" s="188"/>
      <c r="F98" s="188"/>
      <c r="G98" s="188"/>
      <c r="H98" s="87"/>
      <c r="I98" s="188"/>
      <c r="JE98" s="368"/>
    </row>
    <row r="99" spans="1:265" ht="13.8">
      <c r="E99" s="188"/>
      <c r="F99" s="188"/>
      <c r="G99" s="188"/>
      <c r="H99" s="188"/>
      <c r="I99" s="188"/>
      <c r="JE99" s="368"/>
    </row>
    <row r="100" spans="1:265" ht="13.8">
      <c r="E100" s="188"/>
      <c r="F100" s="188"/>
      <c r="G100" s="188"/>
      <c r="H100" s="188"/>
      <c r="I100" s="188"/>
      <c r="JE100" s="368"/>
    </row>
    <row r="101" spans="1:265" ht="13.8">
      <c r="E101" s="188"/>
      <c r="F101" s="188"/>
      <c r="G101" s="188"/>
      <c r="H101" s="188"/>
      <c r="I101" s="188"/>
      <c r="JE101" s="368"/>
    </row>
    <row r="102" spans="1:265" ht="13.8">
      <c r="E102" s="188"/>
      <c r="F102" s="188"/>
      <c r="G102" s="188"/>
      <c r="H102" s="188"/>
      <c r="I102" s="188"/>
      <c r="JE102" s="368"/>
    </row>
    <row r="103" spans="1:265" ht="13.8">
      <c r="E103" s="188"/>
      <c r="F103" s="188"/>
      <c r="G103" s="188"/>
      <c r="H103" s="188"/>
      <c r="I103" s="188"/>
      <c r="JE103" s="368"/>
    </row>
    <row r="104" spans="1:265" ht="13.8">
      <c r="E104" s="188"/>
      <c r="F104" s="188"/>
      <c r="G104" s="188"/>
      <c r="H104" s="188"/>
      <c r="I104" s="188"/>
      <c r="JE104" s="368"/>
    </row>
    <row r="105" spans="1:265" ht="13.8">
      <c r="E105" s="188"/>
      <c r="F105" s="188"/>
      <c r="G105" s="188"/>
      <c r="H105" s="188"/>
      <c r="I105" s="188"/>
      <c r="JE105" s="368"/>
    </row>
    <row r="106" spans="1:265" ht="13.8">
      <c r="E106" s="188"/>
      <c r="F106" s="188"/>
      <c r="G106" s="188"/>
      <c r="H106" s="188"/>
      <c r="I106" s="188"/>
      <c r="JE106" s="368"/>
    </row>
    <row r="107" spans="1:265" ht="13.8">
      <c r="E107" s="188"/>
      <c r="F107" s="188"/>
      <c r="G107" s="188"/>
      <c r="H107" s="188"/>
      <c r="I107" s="188"/>
      <c r="JE107" s="368"/>
    </row>
    <row r="108" spans="1:265" ht="13.95" customHeight="1">
      <c r="E108" s="188"/>
      <c r="F108" s="188"/>
      <c r="G108" s="188"/>
      <c r="H108" s="188"/>
      <c r="I108" s="188"/>
      <c r="JE108" s="368"/>
    </row>
    <row r="109" spans="1:265" ht="13.95" customHeight="1">
      <c r="E109" s="188"/>
      <c r="F109" s="188"/>
      <c r="G109" s="188"/>
      <c r="H109" s="188"/>
      <c r="I109" s="188"/>
      <c r="JE109" s="368"/>
    </row>
    <row r="110" spans="1:265" ht="13.95" customHeight="1">
      <c r="E110" s="188"/>
      <c r="F110" s="188"/>
      <c r="G110" s="188"/>
      <c r="H110" s="188"/>
      <c r="I110" s="188"/>
    </row>
    <row r="111" spans="1:265" ht="13.8">
      <c r="E111" s="188"/>
      <c r="F111" s="188"/>
      <c r="G111" s="188"/>
      <c r="H111" s="188"/>
      <c r="I111" s="188"/>
    </row>
    <row r="112" spans="1:265" ht="13.8">
      <c r="E112" s="188"/>
      <c r="F112" s="188"/>
      <c r="G112" s="188"/>
      <c r="H112" s="188"/>
      <c r="I112" s="188"/>
    </row>
    <row r="113" spans="5:9" ht="13.8">
      <c r="E113" s="188"/>
      <c r="F113" s="188"/>
      <c r="G113" s="188"/>
      <c r="H113" s="188"/>
      <c r="I113" s="188"/>
    </row>
    <row r="114" spans="5:9" ht="13.8">
      <c r="E114" s="188"/>
      <c r="F114" s="188"/>
      <c r="G114" s="188"/>
      <c r="H114" s="188"/>
      <c r="I114" s="188"/>
    </row>
    <row r="115" spans="5:9" ht="13.8">
      <c r="E115" s="188"/>
      <c r="F115" s="188"/>
      <c r="G115" s="188"/>
      <c r="H115" s="188"/>
      <c r="I115" s="188"/>
    </row>
    <row r="116" spans="5:9" ht="13.8">
      <c r="E116" s="188"/>
      <c r="F116" s="188"/>
      <c r="G116" s="188"/>
      <c r="H116" s="188"/>
      <c r="I116" s="188"/>
    </row>
    <row r="117" spans="5:9" ht="13.8">
      <c r="E117" s="188"/>
      <c r="F117" s="188"/>
      <c r="G117" s="188"/>
      <c r="H117" s="188"/>
      <c r="I117" s="188"/>
    </row>
    <row r="118" spans="5:9" ht="13.8">
      <c r="E118" s="188"/>
      <c r="F118" s="188"/>
      <c r="G118" s="188"/>
      <c r="H118" s="188"/>
      <c r="I118" s="188"/>
    </row>
    <row r="119" spans="5:9" ht="13.8">
      <c r="E119" s="188"/>
      <c r="F119" s="188"/>
      <c r="G119" s="188"/>
      <c r="H119" s="188"/>
      <c r="I119" s="188"/>
    </row>
    <row r="120" spans="5:9" ht="13.8">
      <c r="E120" s="188"/>
      <c r="F120" s="188"/>
      <c r="G120" s="188"/>
      <c r="H120" s="188"/>
      <c r="I120" s="188"/>
    </row>
    <row r="121" spans="5:9" ht="13.8">
      <c r="E121" s="188"/>
      <c r="F121" s="188"/>
      <c r="G121" s="188"/>
      <c r="H121" s="188"/>
      <c r="I121" s="188"/>
    </row>
    <row r="122" spans="5:9" ht="13.8">
      <c r="E122" s="188"/>
      <c r="F122" s="188"/>
      <c r="G122" s="188"/>
      <c r="H122" s="188"/>
      <c r="I122" s="188"/>
    </row>
    <row r="123" spans="5:9" ht="13.8">
      <c r="E123" s="188"/>
      <c r="F123" s="188"/>
      <c r="G123" s="188"/>
      <c r="H123" s="188"/>
      <c r="I123" s="188"/>
    </row>
    <row r="124" spans="5:9" ht="13.8">
      <c r="E124" s="188"/>
      <c r="F124" s="188"/>
      <c r="G124" s="188"/>
      <c r="H124" s="188"/>
      <c r="I124" s="188"/>
    </row>
    <row r="125" spans="5:9" ht="13.8">
      <c r="E125" s="188"/>
      <c r="F125" s="188"/>
      <c r="G125" s="188"/>
      <c r="H125" s="188"/>
      <c r="I125" s="188"/>
    </row>
    <row r="126" spans="5:9" ht="13.8">
      <c r="E126" s="188"/>
      <c r="F126" s="188"/>
      <c r="G126" s="188"/>
      <c r="H126" s="188"/>
      <c r="I126" s="188"/>
    </row>
    <row r="127" spans="5:9" ht="13.8">
      <c r="E127" s="188"/>
      <c r="F127" s="188"/>
      <c r="G127" s="188"/>
      <c r="H127" s="188"/>
      <c r="I127" s="188"/>
    </row>
    <row r="128" spans="5:9" ht="13.8">
      <c r="E128" s="188"/>
      <c r="F128" s="188"/>
      <c r="G128" s="188"/>
      <c r="H128" s="188"/>
      <c r="I128" s="188"/>
    </row>
    <row r="129" spans="5:9" ht="13.8">
      <c r="E129" s="188"/>
      <c r="F129" s="188"/>
      <c r="G129" s="188"/>
      <c r="H129" s="188"/>
      <c r="I129" s="188"/>
    </row>
    <row r="130" spans="5:9" ht="13.8">
      <c r="E130" s="188"/>
      <c r="F130" s="188"/>
      <c r="G130" s="188"/>
      <c r="H130" s="188"/>
      <c r="I130" s="188"/>
    </row>
    <row r="131" spans="5:9" ht="13.8">
      <c r="E131" s="188"/>
      <c r="F131" s="188"/>
      <c r="G131" s="188"/>
      <c r="H131" s="188"/>
      <c r="I131" s="188"/>
    </row>
    <row r="132" spans="5:9" ht="13.8">
      <c r="E132" s="188"/>
      <c r="F132" s="188"/>
      <c r="G132" s="188"/>
      <c r="H132" s="188"/>
      <c r="I132" s="188"/>
    </row>
    <row r="133" spans="5:9" ht="13.8">
      <c r="E133" s="188"/>
      <c r="F133" s="188"/>
      <c r="G133" s="188"/>
      <c r="H133" s="188"/>
      <c r="I133" s="188"/>
    </row>
    <row r="134" spans="5:9" ht="13.8">
      <c r="E134" s="188"/>
      <c r="F134" s="188"/>
      <c r="G134" s="188"/>
      <c r="H134" s="188"/>
      <c r="I134" s="188"/>
    </row>
    <row r="135" spans="5:9" ht="13.8">
      <c r="E135" s="188"/>
      <c r="F135" s="188"/>
      <c r="G135" s="188"/>
      <c r="H135" s="188"/>
      <c r="I135" s="188"/>
    </row>
    <row r="136" spans="5:9" ht="13.8">
      <c r="E136" s="188"/>
      <c r="F136" s="188"/>
      <c r="G136" s="188"/>
      <c r="H136" s="188"/>
      <c r="I136" s="188"/>
    </row>
    <row r="137" spans="5:9" ht="13.8">
      <c r="E137" s="188"/>
      <c r="F137" s="188"/>
      <c r="G137" s="188"/>
      <c r="H137" s="188"/>
      <c r="I137" s="188"/>
    </row>
    <row r="138" spans="5:9" ht="13.8">
      <c r="E138" s="188"/>
      <c r="F138" s="188"/>
      <c r="G138" s="188"/>
      <c r="H138" s="188"/>
      <c r="I138" s="188"/>
    </row>
    <row r="139" spans="5:9" ht="13.8">
      <c r="E139" s="188"/>
      <c r="F139" s="188"/>
      <c r="G139" s="188"/>
      <c r="H139" s="188"/>
      <c r="I139" s="188"/>
    </row>
    <row r="140" spans="5:9" ht="13.8">
      <c r="E140" s="188"/>
      <c r="F140" s="188"/>
      <c r="G140" s="188"/>
      <c r="H140" s="188"/>
      <c r="I140" s="188"/>
    </row>
    <row r="141" spans="5:9" ht="13.8">
      <c r="E141" s="188"/>
      <c r="F141" s="188"/>
      <c r="G141" s="188"/>
      <c r="H141" s="188"/>
      <c r="I141" s="188"/>
    </row>
    <row r="142" spans="5:9" ht="13.8">
      <c r="E142" s="188"/>
      <c r="F142" s="188"/>
      <c r="G142" s="188"/>
      <c r="H142" s="188"/>
      <c r="I142" s="188"/>
    </row>
    <row r="143" spans="5:9" ht="13.8">
      <c r="E143" s="188"/>
      <c r="F143" s="188"/>
      <c r="G143" s="188"/>
      <c r="H143" s="188"/>
      <c r="I143" s="188"/>
    </row>
    <row r="144" spans="5:9" ht="13.8">
      <c r="E144" s="188"/>
      <c r="F144" s="188"/>
      <c r="G144" s="188"/>
      <c r="H144" s="188"/>
      <c r="I144" s="188"/>
    </row>
    <row r="145" spans="5:9" ht="13.8">
      <c r="E145" s="188"/>
      <c r="F145" s="188"/>
      <c r="G145" s="188"/>
      <c r="H145" s="188"/>
      <c r="I145" s="188"/>
    </row>
    <row r="146" spans="5:9" ht="13.8">
      <c r="E146" s="188"/>
      <c r="F146" s="188"/>
      <c r="G146" s="188"/>
      <c r="H146" s="188"/>
      <c r="I146" s="188"/>
    </row>
    <row r="147" spans="5:9" ht="13.8">
      <c r="E147" s="188"/>
      <c r="F147" s="188"/>
      <c r="G147" s="188"/>
      <c r="H147" s="188"/>
      <c r="I147" s="188"/>
    </row>
    <row r="148" spans="5:9" ht="13.8">
      <c r="E148" s="188"/>
      <c r="F148" s="188"/>
      <c r="G148" s="188"/>
      <c r="H148" s="188"/>
      <c r="I148" s="188"/>
    </row>
    <row r="149" spans="5:9" ht="13.8">
      <c r="E149" s="188"/>
      <c r="F149" s="188"/>
      <c r="G149" s="188"/>
      <c r="H149" s="188"/>
      <c r="I149" s="188"/>
    </row>
    <row r="150" spans="5:9" ht="13.8">
      <c r="E150" s="188"/>
      <c r="F150" s="188"/>
      <c r="G150" s="188"/>
      <c r="H150" s="188"/>
      <c r="I150" s="188"/>
    </row>
    <row r="151" spans="5:9" ht="13.8"/>
    <row r="152" spans="5:9" ht="13.8"/>
    <row r="153" spans="5:9" ht="13.8"/>
    <row r="154" spans="5:9" ht="13.8"/>
    <row r="155" spans="5:9" ht="13.8"/>
    <row r="156" spans="5:9" ht="13.8"/>
    <row r="157" spans="5:9" ht="13.8"/>
    <row r="158" spans="5:9" ht="13.8"/>
    <row r="159" spans="5:9" ht="13.8"/>
    <row r="160" spans="5:9" ht="13.8"/>
    <row r="161" ht="13.8"/>
    <row r="162" ht="13.8"/>
    <row r="163" ht="13.8"/>
    <row r="164" ht="13.8"/>
    <row r="165" ht="13.95" customHeight="1"/>
    <row r="166" ht="13.95" customHeight="1"/>
    <row r="167" ht="13.95" customHeight="1"/>
    <row r="168" ht="13.95" customHeight="1"/>
    <row r="169" ht="13.95" customHeight="1"/>
    <row r="170" ht="13.95" customHeight="1"/>
    <row r="171" ht="13.95" customHeight="1"/>
    <row r="172" ht="13.95" customHeight="1"/>
    <row r="173" ht="13.95" customHeight="1"/>
    <row r="174" ht="13.95" customHeight="1"/>
    <row r="175" ht="13.95" customHeight="1"/>
    <row r="176" ht="13.95" customHeight="1"/>
    <row r="177" ht="13.95" customHeight="1"/>
    <row r="178" ht="13.95" customHeight="1"/>
    <row r="179" ht="13.95" customHeight="1"/>
    <row r="180" ht="13.95" customHeight="1"/>
    <row r="181" ht="13.95" customHeight="1"/>
    <row r="182" ht="13.95" customHeight="1"/>
    <row r="183" ht="13.95" customHeight="1"/>
    <row r="184" ht="13.95" customHeight="1"/>
    <row r="185" ht="13.95" customHeight="1"/>
    <row r="186" ht="13.95" customHeight="1"/>
    <row r="187" ht="13.95" customHeight="1"/>
    <row r="188" ht="13.95" customHeight="1"/>
    <row r="189" ht="13.95" customHeight="1"/>
  </sheetData>
  <mergeCells count="1">
    <mergeCell ref="K4:L4"/>
  </mergeCells>
  <phoneticPr fontId="20" type="noConversion"/>
  <printOptions horizontalCentered="1"/>
  <pageMargins left="0.27559055118110237" right="0.19685039370078741" top="0.43307086614173229" bottom="0.35433070866141736" header="0.23622047244094491" footer="0"/>
  <pageSetup paperSize="9" scale="47"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D5E478-D5A5-4B7F-B9CB-5B0CE3997B35}">
  <sheetPr codeName="Sheet3">
    <tabColor indexed="25"/>
    <pageSetUpPr fitToPage="1"/>
  </sheetPr>
  <dimension ref="A1:IR166"/>
  <sheetViews>
    <sheetView zoomScale="55" zoomScaleNormal="55" workbookViewId="0">
      <pane xSplit="7" ySplit="5" topLeftCell="H6" activePane="bottomRight" state="frozen"/>
      <selection pane="topRight" activeCell="F1" sqref="F1"/>
      <selection pane="bottomLeft" activeCell="A6" sqref="A6"/>
      <selection pane="bottomRight" activeCell="L30" sqref="L30"/>
    </sheetView>
  </sheetViews>
  <sheetFormatPr defaultColWidth="0" defaultRowHeight="0" customHeight="1" zeroHeight="1"/>
  <cols>
    <col min="1" max="1" width="7.5546875" style="3" customWidth="1"/>
    <col min="2" max="2" width="16.6640625" style="3" customWidth="1"/>
    <col min="3" max="3" width="48.109375" style="3" customWidth="1"/>
    <col min="4" max="4" width="25.6640625" style="30" bestFit="1" customWidth="1"/>
    <col min="5" max="5" width="35.5546875" style="30" bestFit="1" customWidth="1"/>
    <col min="6" max="6" width="16.77734375" style="31" customWidth="1"/>
    <col min="7" max="7" width="16.77734375" style="13" customWidth="1"/>
    <col min="8" max="8" width="18.109375" style="13" customWidth="1"/>
    <col min="9" max="9" width="18.21875" style="4" customWidth="1"/>
    <col min="10" max="11" width="19.109375" style="31" customWidth="1"/>
    <col min="12" max="16" width="17.33203125" style="11" customWidth="1"/>
    <col min="17" max="18" width="17.77734375" style="4" customWidth="1"/>
    <col min="19" max="19" width="17.77734375" style="11" customWidth="1"/>
    <col min="20" max="20" width="21" style="105" bestFit="1" customWidth="1"/>
    <col min="21" max="21" width="17.77734375" style="11" customWidth="1"/>
    <col min="23" max="23" width="17" style="11" customWidth="1"/>
    <col min="24" max="28" width="14.109375" style="3" hidden="1" customWidth="1"/>
    <col min="29" max="63" width="14.109375" style="3" hidden="1"/>
    <col min="64" max="250" width="0" style="3" hidden="1"/>
    <col min="251" max="251" width="7.5546875" style="3" customWidth="1"/>
    <col min="252" max="252" width="36.77734375" style="3" customWidth="1"/>
    <col min="253" max="254" width="0" style="3" hidden="1"/>
    <col min="255" max="255" width="16.6640625" style="3" customWidth="1"/>
    <col min="256" max="256" width="17.33203125" style="3" customWidth="1"/>
    <col min="257" max="257" width="15.5546875" style="3" customWidth="1"/>
    <col min="258" max="258" width="0" style="3" hidden="1"/>
    <col min="259" max="259" width="16.6640625" style="3" customWidth="1"/>
    <col min="260" max="260" width="17.44140625" style="3" customWidth="1"/>
    <col min="261" max="262" width="0" style="3" hidden="1"/>
    <col min="263" max="265" width="15.33203125" style="3" customWidth="1"/>
    <col min="266" max="266" width="17" style="3" customWidth="1"/>
    <col min="267" max="267" width="0" style="3" hidden="1"/>
    <col min="268" max="269" width="15.5546875" style="3" customWidth="1"/>
    <col min="270" max="270" width="13.6640625" style="3" customWidth="1"/>
    <col min="271" max="271" width="9" style="3" customWidth="1"/>
    <col min="272" max="272" width="49.88671875" style="3" customWidth="1"/>
    <col min="273" max="273" width="0" style="3" hidden="1"/>
    <col min="274" max="275" width="15.88671875" style="3" customWidth="1"/>
    <col min="276" max="276" width="14.5546875" style="3" customWidth="1"/>
    <col min="277" max="277" width="16.33203125" style="3" customWidth="1"/>
    <col min="278" max="278" width="18.109375" style="3" customWidth="1"/>
    <col min="279" max="279" width="14.109375" style="3" customWidth="1"/>
    <col min="280" max="506" width="0" style="3" hidden="1"/>
    <col min="507" max="507" width="7.5546875" style="3" customWidth="1"/>
    <col min="508" max="508" width="36.77734375" style="3" customWidth="1"/>
    <col min="509" max="510" width="0" style="3" hidden="1"/>
    <col min="511" max="511" width="16.6640625" style="3" customWidth="1"/>
    <col min="512" max="512" width="17.33203125" style="3" customWidth="1"/>
    <col min="513" max="513" width="15.5546875" style="3" customWidth="1"/>
    <col min="514" max="514" width="0" style="3" hidden="1"/>
    <col min="515" max="515" width="16.6640625" style="3" customWidth="1"/>
    <col min="516" max="516" width="17.44140625" style="3" customWidth="1"/>
    <col min="517" max="518" width="0" style="3" hidden="1"/>
    <col min="519" max="521" width="15.33203125" style="3" customWidth="1"/>
    <col min="522" max="522" width="17" style="3" customWidth="1"/>
    <col min="523" max="523" width="0" style="3" hidden="1"/>
    <col min="524" max="525" width="15.5546875" style="3" customWidth="1"/>
    <col min="526" max="526" width="13.6640625" style="3" customWidth="1"/>
    <col min="527" max="527" width="9" style="3" customWidth="1"/>
    <col min="528" max="528" width="49.88671875" style="3" customWidth="1"/>
    <col min="529" max="529" width="0" style="3" hidden="1"/>
    <col min="530" max="531" width="15.88671875" style="3" customWidth="1"/>
    <col min="532" max="532" width="14.5546875" style="3" customWidth="1"/>
    <col min="533" max="533" width="16.33203125" style="3" customWidth="1"/>
    <col min="534" max="534" width="18.109375" style="3" customWidth="1"/>
    <col min="535" max="535" width="14.109375" style="3" customWidth="1"/>
    <col min="536" max="762" width="0" style="3" hidden="1"/>
    <col min="763" max="763" width="7.5546875" style="3" customWidth="1"/>
    <col min="764" max="764" width="36.77734375" style="3" customWidth="1"/>
    <col min="765" max="766" width="0" style="3" hidden="1"/>
    <col min="767" max="767" width="16.6640625" style="3" customWidth="1"/>
    <col min="768" max="768" width="17.33203125" style="3" customWidth="1"/>
    <col min="769" max="769" width="15.5546875" style="3" customWidth="1"/>
    <col min="770" max="770" width="0" style="3" hidden="1"/>
    <col min="771" max="771" width="16.6640625" style="3" customWidth="1"/>
    <col min="772" max="772" width="17.44140625" style="3" customWidth="1"/>
    <col min="773" max="774" width="0" style="3" hidden="1"/>
    <col min="775" max="777" width="15.33203125" style="3" customWidth="1"/>
    <col min="778" max="778" width="17" style="3" customWidth="1"/>
    <col min="779" max="779" width="0" style="3" hidden="1"/>
    <col min="780" max="781" width="15.5546875" style="3" customWidth="1"/>
    <col min="782" max="782" width="13.6640625" style="3" customWidth="1"/>
    <col min="783" max="783" width="9" style="3" customWidth="1"/>
    <col min="784" max="784" width="49.88671875" style="3" customWidth="1"/>
    <col min="785" max="785" width="0" style="3" hidden="1"/>
    <col min="786" max="787" width="15.88671875" style="3" customWidth="1"/>
    <col min="788" max="788" width="14.5546875" style="3" customWidth="1"/>
    <col min="789" max="789" width="16.33203125" style="3" customWidth="1"/>
    <col min="790" max="790" width="18.109375" style="3" customWidth="1"/>
    <col min="791" max="791" width="14.109375" style="3" customWidth="1"/>
    <col min="792" max="1018" width="0" style="3" hidden="1"/>
    <col min="1019" max="1019" width="7.5546875" style="3" customWidth="1"/>
    <col min="1020" max="1020" width="36.77734375" style="3" customWidth="1"/>
    <col min="1021" max="1022" width="0" style="3" hidden="1"/>
    <col min="1023" max="1023" width="16.6640625" style="3" customWidth="1"/>
    <col min="1024" max="1024" width="17.33203125" style="3" customWidth="1"/>
    <col min="1025" max="1025" width="15.5546875" style="3" customWidth="1"/>
    <col min="1026" max="1026" width="0" style="3" hidden="1"/>
    <col min="1027" max="1027" width="16.6640625" style="3" customWidth="1"/>
    <col min="1028" max="1028" width="17.44140625" style="3" customWidth="1"/>
    <col min="1029" max="1030" width="0" style="3" hidden="1"/>
    <col min="1031" max="1033" width="15.33203125" style="3" customWidth="1"/>
    <col min="1034" max="1034" width="17" style="3" customWidth="1"/>
    <col min="1035" max="1035" width="0" style="3" hidden="1"/>
    <col min="1036" max="1037" width="15.5546875" style="3" customWidth="1"/>
    <col min="1038" max="1038" width="13.6640625" style="3" customWidth="1"/>
    <col min="1039" max="1039" width="9" style="3" customWidth="1"/>
    <col min="1040" max="1040" width="49.88671875" style="3" customWidth="1"/>
    <col min="1041" max="1041" width="0" style="3" hidden="1"/>
    <col min="1042" max="1043" width="15.88671875" style="3" customWidth="1"/>
    <col min="1044" max="1044" width="14.5546875" style="3" customWidth="1"/>
    <col min="1045" max="1045" width="16.33203125" style="3" customWidth="1"/>
    <col min="1046" max="1046" width="18.109375" style="3" customWidth="1"/>
    <col min="1047" max="1047" width="14.109375" style="3" customWidth="1"/>
    <col min="1048" max="1274" width="0" style="3" hidden="1"/>
    <col min="1275" max="1275" width="7.5546875" style="3" customWidth="1"/>
    <col min="1276" max="1276" width="36.77734375" style="3" customWidth="1"/>
    <col min="1277" max="1278" width="0" style="3" hidden="1"/>
    <col min="1279" max="1279" width="16.6640625" style="3" customWidth="1"/>
    <col min="1280" max="1280" width="17.33203125" style="3" customWidth="1"/>
    <col min="1281" max="1281" width="15.5546875" style="3" customWidth="1"/>
    <col min="1282" max="1282" width="0" style="3" hidden="1"/>
    <col min="1283" max="1283" width="16.6640625" style="3" customWidth="1"/>
    <col min="1284" max="1284" width="17.44140625" style="3" customWidth="1"/>
    <col min="1285" max="1286" width="0" style="3" hidden="1"/>
    <col min="1287" max="1289" width="15.33203125" style="3" customWidth="1"/>
    <col min="1290" max="1290" width="17" style="3" customWidth="1"/>
    <col min="1291" max="1291" width="0" style="3" hidden="1"/>
    <col min="1292" max="1293" width="15.5546875" style="3" customWidth="1"/>
    <col min="1294" max="1294" width="13.6640625" style="3" customWidth="1"/>
    <col min="1295" max="1295" width="9" style="3" customWidth="1"/>
    <col min="1296" max="1296" width="49.88671875" style="3" customWidth="1"/>
    <col min="1297" max="1297" width="0" style="3" hidden="1"/>
    <col min="1298" max="1299" width="15.88671875" style="3" customWidth="1"/>
    <col min="1300" max="1300" width="14.5546875" style="3" customWidth="1"/>
    <col min="1301" max="1301" width="16.33203125" style="3" customWidth="1"/>
    <col min="1302" max="1302" width="18.109375" style="3" customWidth="1"/>
    <col min="1303" max="1303" width="14.109375" style="3" customWidth="1"/>
    <col min="1304" max="1530" width="0" style="3" hidden="1"/>
    <col min="1531" max="1531" width="7.5546875" style="3" customWidth="1"/>
    <col min="1532" max="1532" width="36.77734375" style="3" customWidth="1"/>
    <col min="1533" max="1534" width="0" style="3" hidden="1"/>
    <col min="1535" max="1535" width="16.6640625" style="3" customWidth="1"/>
    <col min="1536" max="1536" width="17.33203125" style="3" customWidth="1"/>
    <col min="1537" max="1537" width="15.5546875" style="3" customWidth="1"/>
    <col min="1538" max="1538" width="0" style="3" hidden="1"/>
    <col min="1539" max="1539" width="16.6640625" style="3" customWidth="1"/>
    <col min="1540" max="1540" width="17.44140625" style="3" customWidth="1"/>
    <col min="1541" max="1542" width="0" style="3" hidden="1"/>
    <col min="1543" max="1545" width="15.33203125" style="3" customWidth="1"/>
    <col min="1546" max="1546" width="17" style="3" customWidth="1"/>
    <col min="1547" max="1547" width="0" style="3" hidden="1"/>
    <col min="1548" max="1549" width="15.5546875" style="3" customWidth="1"/>
    <col min="1550" max="1550" width="13.6640625" style="3" customWidth="1"/>
    <col min="1551" max="1551" width="9" style="3" customWidth="1"/>
    <col min="1552" max="1552" width="49.88671875" style="3" customWidth="1"/>
    <col min="1553" max="1553" width="0" style="3" hidden="1"/>
    <col min="1554" max="1555" width="15.88671875" style="3" customWidth="1"/>
    <col min="1556" max="1556" width="14.5546875" style="3" customWidth="1"/>
    <col min="1557" max="1557" width="16.33203125" style="3" customWidth="1"/>
    <col min="1558" max="1558" width="18.109375" style="3" customWidth="1"/>
    <col min="1559" max="1559" width="14.109375" style="3" customWidth="1"/>
    <col min="1560" max="1786" width="0" style="3" hidden="1"/>
    <col min="1787" max="1787" width="7.5546875" style="3" customWidth="1"/>
    <col min="1788" max="1788" width="36.77734375" style="3" customWidth="1"/>
    <col min="1789" max="1790" width="0" style="3" hidden="1"/>
    <col min="1791" max="1791" width="16.6640625" style="3" customWidth="1"/>
    <col min="1792" max="1792" width="17.33203125" style="3" customWidth="1"/>
    <col min="1793" max="1793" width="15.5546875" style="3" customWidth="1"/>
    <col min="1794" max="1794" width="0" style="3" hidden="1"/>
    <col min="1795" max="1795" width="16.6640625" style="3" customWidth="1"/>
    <col min="1796" max="1796" width="17.44140625" style="3" customWidth="1"/>
    <col min="1797" max="1798" width="0" style="3" hidden="1"/>
    <col min="1799" max="1801" width="15.33203125" style="3" customWidth="1"/>
    <col min="1802" max="1802" width="17" style="3" customWidth="1"/>
    <col min="1803" max="1803" width="0" style="3" hidden="1"/>
    <col min="1804" max="1805" width="15.5546875" style="3" customWidth="1"/>
    <col min="1806" max="1806" width="13.6640625" style="3" customWidth="1"/>
    <col min="1807" max="1807" width="9" style="3" customWidth="1"/>
    <col min="1808" max="1808" width="49.88671875" style="3" customWidth="1"/>
    <col min="1809" max="1809" width="0" style="3" hidden="1"/>
    <col min="1810" max="1811" width="15.88671875" style="3" customWidth="1"/>
    <col min="1812" max="1812" width="14.5546875" style="3" customWidth="1"/>
    <col min="1813" max="1813" width="16.33203125" style="3" customWidth="1"/>
    <col min="1814" max="1814" width="18.109375" style="3" customWidth="1"/>
    <col min="1815" max="1815" width="14.109375" style="3" customWidth="1"/>
    <col min="1816" max="2042" width="0" style="3" hidden="1"/>
    <col min="2043" max="2043" width="7.5546875" style="3" customWidth="1"/>
    <col min="2044" max="2044" width="36.77734375" style="3" customWidth="1"/>
    <col min="2045" max="2046" width="0" style="3" hidden="1"/>
    <col min="2047" max="2047" width="16.6640625" style="3" customWidth="1"/>
    <col min="2048" max="2048" width="17.33203125" style="3" customWidth="1"/>
    <col min="2049" max="2049" width="15.5546875" style="3" customWidth="1"/>
    <col min="2050" max="2050" width="0" style="3" hidden="1"/>
    <col min="2051" max="2051" width="16.6640625" style="3" customWidth="1"/>
    <col min="2052" max="2052" width="17.44140625" style="3" customWidth="1"/>
    <col min="2053" max="2054" width="0" style="3" hidden="1"/>
    <col min="2055" max="2057" width="15.33203125" style="3" customWidth="1"/>
    <col min="2058" max="2058" width="17" style="3" customWidth="1"/>
    <col min="2059" max="2059" width="0" style="3" hidden="1"/>
    <col min="2060" max="2061" width="15.5546875" style="3" customWidth="1"/>
    <col min="2062" max="2062" width="13.6640625" style="3" customWidth="1"/>
    <col min="2063" max="2063" width="9" style="3" customWidth="1"/>
    <col min="2064" max="2064" width="49.88671875" style="3" customWidth="1"/>
    <col min="2065" max="2065" width="0" style="3" hidden="1"/>
    <col min="2066" max="2067" width="15.88671875" style="3" customWidth="1"/>
    <col min="2068" max="2068" width="14.5546875" style="3" customWidth="1"/>
    <col min="2069" max="2069" width="16.33203125" style="3" customWidth="1"/>
    <col min="2070" max="2070" width="18.109375" style="3" customWidth="1"/>
    <col min="2071" max="2071" width="14.109375" style="3" customWidth="1"/>
    <col min="2072" max="2298" width="0" style="3" hidden="1"/>
    <col min="2299" max="2299" width="7.5546875" style="3" customWidth="1"/>
    <col min="2300" max="2300" width="36.77734375" style="3" customWidth="1"/>
    <col min="2301" max="2302" width="0" style="3" hidden="1"/>
    <col min="2303" max="2303" width="16.6640625" style="3" customWidth="1"/>
    <col min="2304" max="2304" width="17.33203125" style="3" customWidth="1"/>
    <col min="2305" max="2305" width="15.5546875" style="3" customWidth="1"/>
    <col min="2306" max="2306" width="0" style="3" hidden="1"/>
    <col min="2307" max="2307" width="16.6640625" style="3" customWidth="1"/>
    <col min="2308" max="2308" width="17.44140625" style="3" customWidth="1"/>
    <col min="2309" max="2310" width="0" style="3" hidden="1"/>
    <col min="2311" max="2313" width="15.33203125" style="3" customWidth="1"/>
    <col min="2314" max="2314" width="17" style="3" customWidth="1"/>
    <col min="2315" max="2315" width="0" style="3" hidden="1"/>
    <col min="2316" max="2317" width="15.5546875" style="3" customWidth="1"/>
    <col min="2318" max="2318" width="13.6640625" style="3" customWidth="1"/>
    <col min="2319" max="2319" width="9" style="3" customWidth="1"/>
    <col min="2320" max="2320" width="49.88671875" style="3" customWidth="1"/>
    <col min="2321" max="2321" width="0" style="3" hidden="1"/>
    <col min="2322" max="2323" width="15.88671875" style="3" customWidth="1"/>
    <col min="2324" max="2324" width="14.5546875" style="3" customWidth="1"/>
    <col min="2325" max="2325" width="16.33203125" style="3" customWidth="1"/>
    <col min="2326" max="2326" width="18.109375" style="3" customWidth="1"/>
    <col min="2327" max="2327" width="14.109375" style="3" customWidth="1"/>
    <col min="2328" max="2554" width="0" style="3" hidden="1"/>
    <col min="2555" max="2555" width="7.5546875" style="3" customWidth="1"/>
    <col min="2556" max="2556" width="36.77734375" style="3" customWidth="1"/>
    <col min="2557" max="2558" width="0" style="3" hidden="1"/>
    <col min="2559" max="2559" width="16.6640625" style="3" customWidth="1"/>
    <col min="2560" max="2560" width="17.33203125" style="3" customWidth="1"/>
    <col min="2561" max="2561" width="15.5546875" style="3" customWidth="1"/>
    <col min="2562" max="2562" width="0" style="3" hidden="1"/>
    <col min="2563" max="2563" width="16.6640625" style="3" customWidth="1"/>
    <col min="2564" max="2564" width="17.44140625" style="3" customWidth="1"/>
    <col min="2565" max="2566" width="0" style="3" hidden="1"/>
    <col min="2567" max="2569" width="15.33203125" style="3" customWidth="1"/>
    <col min="2570" max="2570" width="17" style="3" customWidth="1"/>
    <col min="2571" max="2571" width="0" style="3" hidden="1"/>
    <col min="2572" max="2573" width="15.5546875" style="3" customWidth="1"/>
    <col min="2574" max="2574" width="13.6640625" style="3" customWidth="1"/>
    <col min="2575" max="2575" width="9" style="3" customWidth="1"/>
    <col min="2576" max="2576" width="49.88671875" style="3" customWidth="1"/>
    <col min="2577" max="2577" width="0" style="3" hidden="1"/>
    <col min="2578" max="2579" width="15.88671875" style="3" customWidth="1"/>
    <col min="2580" max="2580" width="14.5546875" style="3" customWidth="1"/>
    <col min="2581" max="2581" width="16.33203125" style="3" customWidth="1"/>
    <col min="2582" max="2582" width="18.109375" style="3" customWidth="1"/>
    <col min="2583" max="2583" width="14.109375" style="3" customWidth="1"/>
    <col min="2584" max="2810" width="0" style="3" hidden="1"/>
    <col min="2811" max="2811" width="7.5546875" style="3" customWidth="1"/>
    <col min="2812" max="2812" width="36.77734375" style="3" customWidth="1"/>
    <col min="2813" max="2814" width="0" style="3" hidden="1"/>
    <col min="2815" max="2815" width="16.6640625" style="3" customWidth="1"/>
    <col min="2816" max="2816" width="17.33203125" style="3" customWidth="1"/>
    <col min="2817" max="2817" width="15.5546875" style="3" customWidth="1"/>
    <col min="2818" max="2818" width="0" style="3" hidden="1"/>
    <col min="2819" max="2819" width="16.6640625" style="3" customWidth="1"/>
    <col min="2820" max="2820" width="17.44140625" style="3" customWidth="1"/>
    <col min="2821" max="2822" width="0" style="3" hidden="1"/>
    <col min="2823" max="2825" width="15.33203125" style="3" customWidth="1"/>
    <col min="2826" max="2826" width="17" style="3" customWidth="1"/>
    <col min="2827" max="2827" width="0" style="3" hidden="1"/>
    <col min="2828" max="2829" width="15.5546875" style="3" customWidth="1"/>
    <col min="2830" max="2830" width="13.6640625" style="3" customWidth="1"/>
    <col min="2831" max="2831" width="9" style="3" customWidth="1"/>
    <col min="2832" max="2832" width="49.88671875" style="3" customWidth="1"/>
    <col min="2833" max="2833" width="0" style="3" hidden="1"/>
    <col min="2834" max="2835" width="15.88671875" style="3" customWidth="1"/>
    <col min="2836" max="2836" width="14.5546875" style="3" customWidth="1"/>
    <col min="2837" max="2837" width="16.33203125" style="3" customWidth="1"/>
    <col min="2838" max="2838" width="18.109375" style="3" customWidth="1"/>
    <col min="2839" max="2839" width="14.109375" style="3" customWidth="1"/>
    <col min="2840" max="3066" width="0" style="3" hidden="1"/>
    <col min="3067" max="3067" width="7.5546875" style="3" customWidth="1"/>
    <col min="3068" max="3068" width="36.77734375" style="3" customWidth="1"/>
    <col min="3069" max="3070" width="0" style="3" hidden="1"/>
    <col min="3071" max="3071" width="16.6640625" style="3" customWidth="1"/>
    <col min="3072" max="3072" width="17.33203125" style="3" customWidth="1"/>
    <col min="3073" max="3073" width="15.5546875" style="3" customWidth="1"/>
    <col min="3074" max="3074" width="0" style="3" hidden="1"/>
    <col min="3075" max="3075" width="16.6640625" style="3" customWidth="1"/>
    <col min="3076" max="3076" width="17.44140625" style="3" customWidth="1"/>
    <col min="3077" max="3078" width="0" style="3" hidden="1"/>
    <col min="3079" max="3081" width="15.33203125" style="3" customWidth="1"/>
    <col min="3082" max="3082" width="17" style="3" customWidth="1"/>
    <col min="3083" max="3083" width="0" style="3" hidden="1"/>
    <col min="3084" max="3085" width="15.5546875" style="3" customWidth="1"/>
    <col min="3086" max="3086" width="13.6640625" style="3" customWidth="1"/>
    <col min="3087" max="3087" width="9" style="3" customWidth="1"/>
    <col min="3088" max="3088" width="49.88671875" style="3" customWidth="1"/>
    <col min="3089" max="3089" width="0" style="3" hidden="1"/>
    <col min="3090" max="3091" width="15.88671875" style="3" customWidth="1"/>
    <col min="3092" max="3092" width="14.5546875" style="3" customWidth="1"/>
    <col min="3093" max="3093" width="16.33203125" style="3" customWidth="1"/>
    <col min="3094" max="3094" width="18.109375" style="3" customWidth="1"/>
    <col min="3095" max="3095" width="14.109375" style="3" customWidth="1"/>
    <col min="3096" max="3322" width="0" style="3" hidden="1"/>
    <col min="3323" max="3323" width="7.5546875" style="3" customWidth="1"/>
    <col min="3324" max="3324" width="36.77734375" style="3" customWidth="1"/>
    <col min="3325" max="3326" width="0" style="3" hidden="1"/>
    <col min="3327" max="3327" width="16.6640625" style="3" customWidth="1"/>
    <col min="3328" max="3328" width="17.33203125" style="3" customWidth="1"/>
    <col min="3329" max="3329" width="15.5546875" style="3" customWidth="1"/>
    <col min="3330" max="3330" width="0" style="3" hidden="1"/>
    <col min="3331" max="3331" width="16.6640625" style="3" customWidth="1"/>
    <col min="3332" max="3332" width="17.44140625" style="3" customWidth="1"/>
    <col min="3333" max="3334" width="0" style="3" hidden="1"/>
    <col min="3335" max="3337" width="15.33203125" style="3" customWidth="1"/>
    <col min="3338" max="3338" width="17" style="3" customWidth="1"/>
    <col min="3339" max="3339" width="0" style="3" hidden="1"/>
    <col min="3340" max="3341" width="15.5546875" style="3" customWidth="1"/>
    <col min="3342" max="3342" width="13.6640625" style="3" customWidth="1"/>
    <col min="3343" max="3343" width="9" style="3" customWidth="1"/>
    <col min="3344" max="3344" width="49.88671875" style="3" customWidth="1"/>
    <col min="3345" max="3345" width="0" style="3" hidden="1"/>
    <col min="3346" max="3347" width="15.88671875" style="3" customWidth="1"/>
    <col min="3348" max="3348" width="14.5546875" style="3" customWidth="1"/>
    <col min="3349" max="3349" width="16.33203125" style="3" customWidth="1"/>
    <col min="3350" max="3350" width="18.109375" style="3" customWidth="1"/>
    <col min="3351" max="3351" width="14.109375" style="3" customWidth="1"/>
    <col min="3352" max="3578" width="0" style="3" hidden="1"/>
    <col min="3579" max="3579" width="7.5546875" style="3" customWidth="1"/>
    <col min="3580" max="3580" width="36.77734375" style="3" customWidth="1"/>
    <col min="3581" max="3582" width="0" style="3" hidden="1"/>
    <col min="3583" max="3583" width="16.6640625" style="3" customWidth="1"/>
    <col min="3584" max="3584" width="17.33203125" style="3" customWidth="1"/>
    <col min="3585" max="3585" width="15.5546875" style="3" customWidth="1"/>
    <col min="3586" max="3586" width="0" style="3" hidden="1"/>
    <col min="3587" max="3587" width="16.6640625" style="3" customWidth="1"/>
    <col min="3588" max="3588" width="17.44140625" style="3" customWidth="1"/>
    <col min="3589" max="3590" width="0" style="3" hidden="1"/>
    <col min="3591" max="3593" width="15.33203125" style="3" customWidth="1"/>
    <col min="3594" max="3594" width="17" style="3" customWidth="1"/>
    <col min="3595" max="3595" width="0" style="3" hidden="1"/>
    <col min="3596" max="3597" width="15.5546875" style="3" customWidth="1"/>
    <col min="3598" max="3598" width="13.6640625" style="3" customWidth="1"/>
    <col min="3599" max="3599" width="9" style="3" customWidth="1"/>
    <col min="3600" max="3600" width="49.88671875" style="3" customWidth="1"/>
    <col min="3601" max="3601" width="0" style="3" hidden="1"/>
    <col min="3602" max="3603" width="15.88671875" style="3" customWidth="1"/>
    <col min="3604" max="3604" width="14.5546875" style="3" customWidth="1"/>
    <col min="3605" max="3605" width="16.33203125" style="3" customWidth="1"/>
    <col min="3606" max="3606" width="18.109375" style="3" customWidth="1"/>
    <col min="3607" max="3607" width="14.109375" style="3" customWidth="1"/>
    <col min="3608" max="3834" width="0" style="3" hidden="1"/>
    <col min="3835" max="3835" width="7.5546875" style="3" customWidth="1"/>
    <col min="3836" max="3836" width="36.77734375" style="3" customWidth="1"/>
    <col min="3837" max="3838" width="0" style="3" hidden="1"/>
    <col min="3839" max="3839" width="16.6640625" style="3" customWidth="1"/>
    <col min="3840" max="3840" width="17.33203125" style="3" customWidth="1"/>
    <col min="3841" max="3841" width="15.5546875" style="3" customWidth="1"/>
    <col min="3842" max="3842" width="0" style="3" hidden="1"/>
    <col min="3843" max="3843" width="16.6640625" style="3" customWidth="1"/>
    <col min="3844" max="3844" width="17.44140625" style="3" customWidth="1"/>
    <col min="3845" max="3846" width="0" style="3" hidden="1"/>
    <col min="3847" max="3849" width="15.33203125" style="3" customWidth="1"/>
    <col min="3850" max="3850" width="17" style="3" customWidth="1"/>
    <col min="3851" max="3851" width="0" style="3" hidden="1"/>
    <col min="3852" max="3853" width="15.5546875" style="3" customWidth="1"/>
    <col min="3854" max="3854" width="13.6640625" style="3" customWidth="1"/>
    <col min="3855" max="3855" width="9" style="3" customWidth="1"/>
    <col min="3856" max="3856" width="49.88671875" style="3" customWidth="1"/>
    <col min="3857" max="3857" width="0" style="3" hidden="1"/>
    <col min="3858" max="3859" width="15.88671875" style="3" customWidth="1"/>
    <col min="3860" max="3860" width="14.5546875" style="3" customWidth="1"/>
    <col min="3861" max="3861" width="16.33203125" style="3" customWidth="1"/>
    <col min="3862" max="3862" width="18.109375" style="3" customWidth="1"/>
    <col min="3863" max="3863" width="14.109375" style="3" customWidth="1"/>
    <col min="3864" max="4090" width="0" style="3" hidden="1"/>
    <col min="4091" max="4091" width="7.5546875" style="3" customWidth="1"/>
    <col min="4092" max="4092" width="36.77734375" style="3" customWidth="1"/>
    <col min="4093" max="4094" width="0" style="3" hidden="1"/>
    <col min="4095" max="4095" width="16.6640625" style="3" customWidth="1"/>
    <col min="4096" max="4096" width="17.33203125" style="3" customWidth="1"/>
    <col min="4097" max="4097" width="15.5546875" style="3" customWidth="1"/>
    <col min="4098" max="4098" width="0" style="3" hidden="1"/>
    <col min="4099" max="4099" width="16.6640625" style="3" customWidth="1"/>
    <col min="4100" max="4100" width="17.44140625" style="3" customWidth="1"/>
    <col min="4101" max="4102" width="0" style="3" hidden="1"/>
    <col min="4103" max="4105" width="15.33203125" style="3" customWidth="1"/>
    <col min="4106" max="4106" width="17" style="3" customWidth="1"/>
    <col min="4107" max="4107" width="0" style="3" hidden="1"/>
    <col min="4108" max="4109" width="15.5546875" style="3" customWidth="1"/>
    <col min="4110" max="4110" width="13.6640625" style="3" customWidth="1"/>
    <col min="4111" max="4111" width="9" style="3" customWidth="1"/>
    <col min="4112" max="4112" width="49.88671875" style="3" customWidth="1"/>
    <col min="4113" max="4113" width="0" style="3" hidden="1"/>
    <col min="4114" max="4115" width="15.88671875" style="3" customWidth="1"/>
    <col min="4116" max="4116" width="14.5546875" style="3" customWidth="1"/>
    <col min="4117" max="4117" width="16.33203125" style="3" customWidth="1"/>
    <col min="4118" max="4118" width="18.109375" style="3" customWidth="1"/>
    <col min="4119" max="4119" width="14.109375" style="3" customWidth="1"/>
    <col min="4120" max="4346" width="0" style="3" hidden="1"/>
    <col min="4347" max="4347" width="7.5546875" style="3" customWidth="1"/>
    <col min="4348" max="4348" width="36.77734375" style="3" customWidth="1"/>
    <col min="4349" max="4350" width="0" style="3" hidden="1"/>
    <col min="4351" max="4351" width="16.6640625" style="3" customWidth="1"/>
    <col min="4352" max="4352" width="17.33203125" style="3" customWidth="1"/>
    <col min="4353" max="4353" width="15.5546875" style="3" customWidth="1"/>
    <col min="4354" max="4354" width="0" style="3" hidden="1"/>
    <col min="4355" max="4355" width="16.6640625" style="3" customWidth="1"/>
    <col min="4356" max="4356" width="17.44140625" style="3" customWidth="1"/>
    <col min="4357" max="4358" width="0" style="3" hidden="1"/>
    <col min="4359" max="4361" width="15.33203125" style="3" customWidth="1"/>
    <col min="4362" max="4362" width="17" style="3" customWidth="1"/>
    <col min="4363" max="4363" width="0" style="3" hidden="1"/>
    <col min="4364" max="4365" width="15.5546875" style="3" customWidth="1"/>
    <col min="4366" max="4366" width="13.6640625" style="3" customWidth="1"/>
    <col min="4367" max="4367" width="9" style="3" customWidth="1"/>
    <col min="4368" max="4368" width="49.88671875" style="3" customWidth="1"/>
    <col min="4369" max="4369" width="0" style="3" hidden="1"/>
    <col min="4370" max="4371" width="15.88671875" style="3" customWidth="1"/>
    <col min="4372" max="4372" width="14.5546875" style="3" customWidth="1"/>
    <col min="4373" max="4373" width="16.33203125" style="3" customWidth="1"/>
    <col min="4374" max="4374" width="18.109375" style="3" customWidth="1"/>
    <col min="4375" max="4375" width="14.109375" style="3" customWidth="1"/>
    <col min="4376" max="4602" width="0" style="3" hidden="1"/>
    <col min="4603" max="4603" width="7.5546875" style="3" customWidth="1"/>
    <col min="4604" max="4604" width="36.77734375" style="3" customWidth="1"/>
    <col min="4605" max="4606" width="0" style="3" hidden="1"/>
    <col min="4607" max="4607" width="16.6640625" style="3" customWidth="1"/>
    <col min="4608" max="4608" width="17.33203125" style="3" customWidth="1"/>
    <col min="4609" max="4609" width="15.5546875" style="3" customWidth="1"/>
    <col min="4610" max="4610" width="0" style="3" hidden="1"/>
    <col min="4611" max="4611" width="16.6640625" style="3" customWidth="1"/>
    <col min="4612" max="4612" width="17.44140625" style="3" customWidth="1"/>
    <col min="4613" max="4614" width="0" style="3" hidden="1"/>
    <col min="4615" max="4617" width="15.33203125" style="3" customWidth="1"/>
    <col min="4618" max="4618" width="17" style="3" customWidth="1"/>
    <col min="4619" max="4619" width="0" style="3" hidden="1"/>
    <col min="4620" max="4621" width="15.5546875" style="3" customWidth="1"/>
    <col min="4622" max="4622" width="13.6640625" style="3" customWidth="1"/>
    <col min="4623" max="4623" width="9" style="3" customWidth="1"/>
    <col min="4624" max="4624" width="49.88671875" style="3" customWidth="1"/>
    <col min="4625" max="4625" width="0" style="3" hidden="1"/>
    <col min="4626" max="4627" width="15.88671875" style="3" customWidth="1"/>
    <col min="4628" max="4628" width="14.5546875" style="3" customWidth="1"/>
    <col min="4629" max="4629" width="16.33203125" style="3" customWidth="1"/>
    <col min="4630" max="4630" width="18.109375" style="3" customWidth="1"/>
    <col min="4631" max="4631" width="14.109375" style="3" customWidth="1"/>
    <col min="4632" max="4858" width="0" style="3" hidden="1"/>
    <col min="4859" max="4859" width="7.5546875" style="3" customWidth="1"/>
    <col min="4860" max="4860" width="36.77734375" style="3" customWidth="1"/>
    <col min="4861" max="4862" width="0" style="3" hidden="1"/>
    <col min="4863" max="4863" width="16.6640625" style="3" customWidth="1"/>
    <col min="4864" max="4864" width="17.33203125" style="3" customWidth="1"/>
    <col min="4865" max="4865" width="15.5546875" style="3" customWidth="1"/>
    <col min="4866" max="4866" width="0" style="3" hidden="1"/>
    <col min="4867" max="4867" width="16.6640625" style="3" customWidth="1"/>
    <col min="4868" max="4868" width="17.44140625" style="3" customWidth="1"/>
    <col min="4869" max="4870" width="0" style="3" hidden="1"/>
    <col min="4871" max="4873" width="15.33203125" style="3" customWidth="1"/>
    <col min="4874" max="4874" width="17" style="3" customWidth="1"/>
    <col min="4875" max="4875" width="0" style="3" hidden="1"/>
    <col min="4876" max="4877" width="15.5546875" style="3" customWidth="1"/>
    <col min="4878" max="4878" width="13.6640625" style="3" customWidth="1"/>
    <col min="4879" max="4879" width="9" style="3" customWidth="1"/>
    <col min="4880" max="4880" width="49.88671875" style="3" customWidth="1"/>
    <col min="4881" max="4881" width="0" style="3" hidden="1"/>
    <col min="4882" max="4883" width="15.88671875" style="3" customWidth="1"/>
    <col min="4884" max="4884" width="14.5546875" style="3" customWidth="1"/>
    <col min="4885" max="4885" width="16.33203125" style="3" customWidth="1"/>
    <col min="4886" max="4886" width="18.109375" style="3" customWidth="1"/>
    <col min="4887" max="4887" width="14.109375" style="3" customWidth="1"/>
    <col min="4888" max="5114" width="0" style="3" hidden="1"/>
    <col min="5115" max="5115" width="7.5546875" style="3" customWidth="1"/>
    <col min="5116" max="5116" width="36.77734375" style="3" customWidth="1"/>
    <col min="5117" max="5118" width="0" style="3" hidden="1"/>
    <col min="5119" max="5119" width="16.6640625" style="3" customWidth="1"/>
    <col min="5120" max="5120" width="17.33203125" style="3" customWidth="1"/>
    <col min="5121" max="5121" width="15.5546875" style="3" customWidth="1"/>
    <col min="5122" max="5122" width="0" style="3" hidden="1"/>
    <col min="5123" max="5123" width="16.6640625" style="3" customWidth="1"/>
    <col min="5124" max="5124" width="17.44140625" style="3" customWidth="1"/>
    <col min="5125" max="5126" width="0" style="3" hidden="1"/>
    <col min="5127" max="5129" width="15.33203125" style="3" customWidth="1"/>
    <col min="5130" max="5130" width="17" style="3" customWidth="1"/>
    <col min="5131" max="5131" width="0" style="3" hidden="1"/>
    <col min="5132" max="5133" width="15.5546875" style="3" customWidth="1"/>
    <col min="5134" max="5134" width="13.6640625" style="3" customWidth="1"/>
    <col min="5135" max="5135" width="9" style="3" customWidth="1"/>
    <col min="5136" max="5136" width="49.88671875" style="3" customWidth="1"/>
    <col min="5137" max="5137" width="0" style="3" hidden="1"/>
    <col min="5138" max="5139" width="15.88671875" style="3" customWidth="1"/>
    <col min="5140" max="5140" width="14.5546875" style="3" customWidth="1"/>
    <col min="5141" max="5141" width="16.33203125" style="3" customWidth="1"/>
    <col min="5142" max="5142" width="18.109375" style="3" customWidth="1"/>
    <col min="5143" max="5143" width="14.109375" style="3" customWidth="1"/>
    <col min="5144" max="5370" width="0" style="3" hidden="1"/>
    <col min="5371" max="5371" width="7.5546875" style="3" customWidth="1"/>
    <col min="5372" max="5372" width="36.77734375" style="3" customWidth="1"/>
    <col min="5373" max="5374" width="0" style="3" hidden="1"/>
    <col min="5375" max="5375" width="16.6640625" style="3" customWidth="1"/>
    <col min="5376" max="5376" width="17.33203125" style="3" customWidth="1"/>
    <col min="5377" max="5377" width="15.5546875" style="3" customWidth="1"/>
    <col min="5378" max="5378" width="0" style="3" hidden="1"/>
    <col min="5379" max="5379" width="16.6640625" style="3" customWidth="1"/>
    <col min="5380" max="5380" width="17.44140625" style="3" customWidth="1"/>
    <col min="5381" max="5382" width="0" style="3" hidden="1"/>
    <col min="5383" max="5385" width="15.33203125" style="3" customWidth="1"/>
    <col min="5386" max="5386" width="17" style="3" customWidth="1"/>
    <col min="5387" max="5387" width="0" style="3" hidden="1"/>
    <col min="5388" max="5389" width="15.5546875" style="3" customWidth="1"/>
    <col min="5390" max="5390" width="13.6640625" style="3" customWidth="1"/>
    <col min="5391" max="5391" width="9" style="3" customWidth="1"/>
    <col min="5392" max="5392" width="49.88671875" style="3" customWidth="1"/>
    <col min="5393" max="5393" width="0" style="3" hidden="1"/>
    <col min="5394" max="5395" width="15.88671875" style="3" customWidth="1"/>
    <col min="5396" max="5396" width="14.5546875" style="3" customWidth="1"/>
    <col min="5397" max="5397" width="16.33203125" style="3" customWidth="1"/>
    <col min="5398" max="5398" width="18.109375" style="3" customWidth="1"/>
    <col min="5399" max="5399" width="14.109375" style="3" customWidth="1"/>
    <col min="5400" max="5626" width="0" style="3" hidden="1"/>
    <col min="5627" max="5627" width="7.5546875" style="3" customWidth="1"/>
    <col min="5628" max="5628" width="36.77734375" style="3" customWidth="1"/>
    <col min="5629" max="5630" width="0" style="3" hidden="1"/>
    <col min="5631" max="5631" width="16.6640625" style="3" customWidth="1"/>
    <col min="5632" max="5632" width="17.33203125" style="3" customWidth="1"/>
    <col min="5633" max="5633" width="15.5546875" style="3" customWidth="1"/>
    <col min="5634" max="5634" width="0" style="3" hidden="1"/>
    <col min="5635" max="5635" width="16.6640625" style="3" customWidth="1"/>
    <col min="5636" max="5636" width="17.44140625" style="3" customWidth="1"/>
    <col min="5637" max="5638" width="0" style="3" hidden="1"/>
    <col min="5639" max="5641" width="15.33203125" style="3" customWidth="1"/>
    <col min="5642" max="5642" width="17" style="3" customWidth="1"/>
    <col min="5643" max="5643" width="0" style="3" hidden="1"/>
    <col min="5644" max="5645" width="15.5546875" style="3" customWidth="1"/>
    <col min="5646" max="5646" width="13.6640625" style="3" customWidth="1"/>
    <col min="5647" max="5647" width="9" style="3" customWidth="1"/>
    <col min="5648" max="5648" width="49.88671875" style="3" customWidth="1"/>
    <col min="5649" max="5649" width="0" style="3" hidden="1"/>
    <col min="5650" max="5651" width="15.88671875" style="3" customWidth="1"/>
    <col min="5652" max="5652" width="14.5546875" style="3" customWidth="1"/>
    <col min="5653" max="5653" width="16.33203125" style="3" customWidth="1"/>
    <col min="5654" max="5654" width="18.109375" style="3" customWidth="1"/>
    <col min="5655" max="5655" width="14.109375" style="3" customWidth="1"/>
    <col min="5656" max="5882" width="0" style="3" hidden="1"/>
    <col min="5883" max="5883" width="7.5546875" style="3" customWidth="1"/>
    <col min="5884" max="5884" width="36.77734375" style="3" customWidth="1"/>
    <col min="5885" max="5886" width="0" style="3" hidden="1"/>
    <col min="5887" max="5887" width="16.6640625" style="3" customWidth="1"/>
    <col min="5888" max="5888" width="17.33203125" style="3" customWidth="1"/>
    <col min="5889" max="5889" width="15.5546875" style="3" customWidth="1"/>
    <col min="5890" max="5890" width="0" style="3" hidden="1"/>
    <col min="5891" max="5891" width="16.6640625" style="3" customWidth="1"/>
    <col min="5892" max="5892" width="17.44140625" style="3" customWidth="1"/>
    <col min="5893" max="5894" width="0" style="3" hidden="1"/>
    <col min="5895" max="5897" width="15.33203125" style="3" customWidth="1"/>
    <col min="5898" max="5898" width="17" style="3" customWidth="1"/>
    <col min="5899" max="5899" width="0" style="3" hidden="1"/>
    <col min="5900" max="5901" width="15.5546875" style="3" customWidth="1"/>
    <col min="5902" max="5902" width="13.6640625" style="3" customWidth="1"/>
    <col min="5903" max="5903" width="9" style="3" customWidth="1"/>
    <col min="5904" max="5904" width="49.88671875" style="3" customWidth="1"/>
    <col min="5905" max="5905" width="0" style="3" hidden="1"/>
    <col min="5906" max="5907" width="15.88671875" style="3" customWidth="1"/>
    <col min="5908" max="5908" width="14.5546875" style="3" customWidth="1"/>
    <col min="5909" max="5909" width="16.33203125" style="3" customWidth="1"/>
    <col min="5910" max="5910" width="18.109375" style="3" customWidth="1"/>
    <col min="5911" max="5911" width="14.109375" style="3" customWidth="1"/>
    <col min="5912" max="6138" width="0" style="3" hidden="1"/>
    <col min="6139" max="6139" width="7.5546875" style="3" customWidth="1"/>
    <col min="6140" max="6140" width="36.77734375" style="3" customWidth="1"/>
    <col min="6141" max="6142" width="0" style="3" hidden="1"/>
    <col min="6143" max="6143" width="16.6640625" style="3" customWidth="1"/>
    <col min="6144" max="6144" width="17.33203125" style="3" customWidth="1"/>
    <col min="6145" max="6145" width="15.5546875" style="3" customWidth="1"/>
    <col min="6146" max="6146" width="0" style="3" hidden="1"/>
    <col min="6147" max="6147" width="16.6640625" style="3" customWidth="1"/>
    <col min="6148" max="6148" width="17.44140625" style="3" customWidth="1"/>
    <col min="6149" max="6150" width="0" style="3" hidden="1"/>
    <col min="6151" max="6153" width="15.33203125" style="3" customWidth="1"/>
    <col min="6154" max="6154" width="17" style="3" customWidth="1"/>
    <col min="6155" max="6155" width="0" style="3" hidden="1"/>
    <col min="6156" max="6157" width="15.5546875" style="3" customWidth="1"/>
    <col min="6158" max="6158" width="13.6640625" style="3" customWidth="1"/>
    <col min="6159" max="6159" width="9" style="3" customWidth="1"/>
    <col min="6160" max="6160" width="49.88671875" style="3" customWidth="1"/>
    <col min="6161" max="6161" width="0" style="3" hidden="1"/>
    <col min="6162" max="6163" width="15.88671875" style="3" customWidth="1"/>
    <col min="6164" max="6164" width="14.5546875" style="3" customWidth="1"/>
    <col min="6165" max="6165" width="16.33203125" style="3" customWidth="1"/>
    <col min="6166" max="6166" width="18.109375" style="3" customWidth="1"/>
    <col min="6167" max="6167" width="14.109375" style="3" customWidth="1"/>
    <col min="6168" max="6394" width="0" style="3" hidden="1"/>
    <col min="6395" max="6395" width="7.5546875" style="3" customWidth="1"/>
    <col min="6396" max="6396" width="36.77734375" style="3" customWidth="1"/>
    <col min="6397" max="6398" width="0" style="3" hidden="1"/>
    <col min="6399" max="6399" width="16.6640625" style="3" customWidth="1"/>
    <col min="6400" max="6400" width="17.33203125" style="3" customWidth="1"/>
    <col min="6401" max="6401" width="15.5546875" style="3" customWidth="1"/>
    <col min="6402" max="6402" width="0" style="3" hidden="1"/>
    <col min="6403" max="6403" width="16.6640625" style="3" customWidth="1"/>
    <col min="6404" max="6404" width="17.44140625" style="3" customWidth="1"/>
    <col min="6405" max="6406" width="0" style="3" hidden="1"/>
    <col min="6407" max="6409" width="15.33203125" style="3" customWidth="1"/>
    <col min="6410" max="6410" width="17" style="3" customWidth="1"/>
    <col min="6411" max="6411" width="0" style="3" hidden="1"/>
    <col min="6412" max="6413" width="15.5546875" style="3" customWidth="1"/>
    <col min="6414" max="6414" width="13.6640625" style="3" customWidth="1"/>
    <col min="6415" max="6415" width="9" style="3" customWidth="1"/>
    <col min="6416" max="6416" width="49.88671875" style="3" customWidth="1"/>
    <col min="6417" max="6417" width="0" style="3" hidden="1"/>
    <col min="6418" max="6419" width="15.88671875" style="3" customWidth="1"/>
    <col min="6420" max="6420" width="14.5546875" style="3" customWidth="1"/>
    <col min="6421" max="6421" width="16.33203125" style="3" customWidth="1"/>
    <col min="6422" max="6422" width="18.109375" style="3" customWidth="1"/>
    <col min="6423" max="6423" width="14.109375" style="3" customWidth="1"/>
    <col min="6424" max="6650" width="0" style="3" hidden="1"/>
    <col min="6651" max="6651" width="7.5546875" style="3" customWidth="1"/>
    <col min="6652" max="6652" width="36.77734375" style="3" customWidth="1"/>
    <col min="6653" max="6654" width="0" style="3" hidden="1"/>
    <col min="6655" max="6655" width="16.6640625" style="3" customWidth="1"/>
    <col min="6656" max="6656" width="17.33203125" style="3" customWidth="1"/>
    <col min="6657" max="6657" width="15.5546875" style="3" customWidth="1"/>
    <col min="6658" max="6658" width="0" style="3" hidden="1"/>
    <col min="6659" max="6659" width="16.6640625" style="3" customWidth="1"/>
    <col min="6660" max="6660" width="17.44140625" style="3" customWidth="1"/>
    <col min="6661" max="6662" width="0" style="3" hidden="1"/>
    <col min="6663" max="6665" width="15.33203125" style="3" customWidth="1"/>
    <col min="6666" max="6666" width="17" style="3" customWidth="1"/>
    <col min="6667" max="6667" width="0" style="3" hidden="1"/>
    <col min="6668" max="6669" width="15.5546875" style="3" customWidth="1"/>
    <col min="6670" max="6670" width="13.6640625" style="3" customWidth="1"/>
    <col min="6671" max="6671" width="9" style="3" customWidth="1"/>
    <col min="6672" max="6672" width="49.88671875" style="3" customWidth="1"/>
    <col min="6673" max="6673" width="0" style="3" hidden="1"/>
    <col min="6674" max="6675" width="15.88671875" style="3" customWidth="1"/>
    <col min="6676" max="6676" width="14.5546875" style="3" customWidth="1"/>
    <col min="6677" max="6677" width="16.33203125" style="3" customWidth="1"/>
    <col min="6678" max="6678" width="18.109375" style="3" customWidth="1"/>
    <col min="6679" max="6679" width="14.109375" style="3" customWidth="1"/>
    <col min="6680" max="6906" width="0" style="3" hidden="1"/>
    <col min="6907" max="6907" width="7.5546875" style="3" customWidth="1"/>
    <col min="6908" max="6908" width="36.77734375" style="3" customWidth="1"/>
    <col min="6909" max="6910" width="0" style="3" hidden="1"/>
    <col min="6911" max="6911" width="16.6640625" style="3" customWidth="1"/>
    <col min="6912" max="6912" width="17.33203125" style="3" customWidth="1"/>
    <col min="6913" max="6913" width="15.5546875" style="3" customWidth="1"/>
    <col min="6914" max="6914" width="0" style="3" hidden="1"/>
    <col min="6915" max="6915" width="16.6640625" style="3" customWidth="1"/>
    <col min="6916" max="6916" width="17.44140625" style="3" customWidth="1"/>
    <col min="6917" max="6918" width="0" style="3" hidden="1"/>
    <col min="6919" max="6921" width="15.33203125" style="3" customWidth="1"/>
    <col min="6922" max="6922" width="17" style="3" customWidth="1"/>
    <col min="6923" max="6923" width="0" style="3" hidden="1"/>
    <col min="6924" max="6925" width="15.5546875" style="3" customWidth="1"/>
    <col min="6926" max="6926" width="13.6640625" style="3" customWidth="1"/>
    <col min="6927" max="6927" width="9" style="3" customWidth="1"/>
    <col min="6928" max="6928" width="49.88671875" style="3" customWidth="1"/>
    <col min="6929" max="6929" width="0" style="3" hidden="1"/>
    <col min="6930" max="6931" width="15.88671875" style="3" customWidth="1"/>
    <col min="6932" max="6932" width="14.5546875" style="3" customWidth="1"/>
    <col min="6933" max="6933" width="16.33203125" style="3" customWidth="1"/>
    <col min="6934" max="6934" width="18.109375" style="3" customWidth="1"/>
    <col min="6935" max="6935" width="14.109375" style="3" customWidth="1"/>
    <col min="6936" max="7162" width="0" style="3" hidden="1"/>
    <col min="7163" max="7163" width="7.5546875" style="3" customWidth="1"/>
    <col min="7164" max="7164" width="36.77734375" style="3" customWidth="1"/>
    <col min="7165" max="7166" width="0" style="3" hidden="1"/>
    <col min="7167" max="7167" width="16.6640625" style="3" customWidth="1"/>
    <col min="7168" max="7168" width="17.33203125" style="3" customWidth="1"/>
    <col min="7169" max="7169" width="15.5546875" style="3" customWidth="1"/>
    <col min="7170" max="7170" width="0" style="3" hidden="1"/>
    <col min="7171" max="7171" width="16.6640625" style="3" customWidth="1"/>
    <col min="7172" max="7172" width="17.44140625" style="3" customWidth="1"/>
    <col min="7173" max="7174" width="0" style="3" hidden="1"/>
    <col min="7175" max="7177" width="15.33203125" style="3" customWidth="1"/>
    <col min="7178" max="7178" width="17" style="3" customWidth="1"/>
    <col min="7179" max="7179" width="0" style="3" hidden="1"/>
    <col min="7180" max="7181" width="15.5546875" style="3" customWidth="1"/>
    <col min="7182" max="7182" width="13.6640625" style="3" customWidth="1"/>
    <col min="7183" max="7183" width="9" style="3" customWidth="1"/>
    <col min="7184" max="7184" width="49.88671875" style="3" customWidth="1"/>
    <col min="7185" max="7185" width="0" style="3" hidden="1"/>
    <col min="7186" max="7187" width="15.88671875" style="3" customWidth="1"/>
    <col min="7188" max="7188" width="14.5546875" style="3" customWidth="1"/>
    <col min="7189" max="7189" width="16.33203125" style="3" customWidth="1"/>
    <col min="7190" max="7190" width="18.109375" style="3" customWidth="1"/>
    <col min="7191" max="7191" width="14.109375" style="3" customWidth="1"/>
    <col min="7192" max="7418" width="0" style="3" hidden="1"/>
    <col min="7419" max="7419" width="7.5546875" style="3" customWidth="1"/>
    <col min="7420" max="7420" width="36.77734375" style="3" customWidth="1"/>
    <col min="7421" max="7422" width="0" style="3" hidden="1"/>
    <col min="7423" max="7423" width="16.6640625" style="3" customWidth="1"/>
    <col min="7424" max="7424" width="17.33203125" style="3" customWidth="1"/>
    <col min="7425" max="7425" width="15.5546875" style="3" customWidth="1"/>
    <col min="7426" max="7426" width="0" style="3" hidden="1"/>
    <col min="7427" max="7427" width="16.6640625" style="3" customWidth="1"/>
    <col min="7428" max="7428" width="17.44140625" style="3" customWidth="1"/>
    <col min="7429" max="7430" width="0" style="3" hidden="1"/>
    <col min="7431" max="7433" width="15.33203125" style="3" customWidth="1"/>
    <col min="7434" max="7434" width="17" style="3" customWidth="1"/>
    <col min="7435" max="7435" width="0" style="3" hidden="1"/>
    <col min="7436" max="7437" width="15.5546875" style="3" customWidth="1"/>
    <col min="7438" max="7438" width="13.6640625" style="3" customWidth="1"/>
    <col min="7439" max="7439" width="9" style="3" customWidth="1"/>
    <col min="7440" max="7440" width="49.88671875" style="3" customWidth="1"/>
    <col min="7441" max="7441" width="0" style="3" hidden="1"/>
    <col min="7442" max="7443" width="15.88671875" style="3" customWidth="1"/>
    <col min="7444" max="7444" width="14.5546875" style="3" customWidth="1"/>
    <col min="7445" max="7445" width="16.33203125" style="3" customWidth="1"/>
    <col min="7446" max="7446" width="18.109375" style="3" customWidth="1"/>
    <col min="7447" max="7447" width="14.109375" style="3" customWidth="1"/>
    <col min="7448" max="7674" width="0" style="3" hidden="1"/>
    <col min="7675" max="7675" width="7.5546875" style="3" customWidth="1"/>
    <col min="7676" max="7676" width="36.77734375" style="3" customWidth="1"/>
    <col min="7677" max="7678" width="0" style="3" hidden="1"/>
    <col min="7679" max="7679" width="16.6640625" style="3" customWidth="1"/>
    <col min="7680" max="7680" width="17.33203125" style="3" customWidth="1"/>
    <col min="7681" max="7681" width="15.5546875" style="3" customWidth="1"/>
    <col min="7682" max="7682" width="0" style="3" hidden="1"/>
    <col min="7683" max="7683" width="16.6640625" style="3" customWidth="1"/>
    <col min="7684" max="7684" width="17.44140625" style="3" customWidth="1"/>
    <col min="7685" max="7686" width="0" style="3" hidden="1"/>
    <col min="7687" max="7689" width="15.33203125" style="3" customWidth="1"/>
    <col min="7690" max="7690" width="17" style="3" customWidth="1"/>
    <col min="7691" max="7691" width="0" style="3" hidden="1"/>
    <col min="7692" max="7693" width="15.5546875" style="3" customWidth="1"/>
    <col min="7694" max="7694" width="13.6640625" style="3" customWidth="1"/>
    <col min="7695" max="7695" width="9" style="3" customWidth="1"/>
    <col min="7696" max="7696" width="49.88671875" style="3" customWidth="1"/>
    <col min="7697" max="7697" width="0" style="3" hidden="1"/>
    <col min="7698" max="7699" width="15.88671875" style="3" customWidth="1"/>
    <col min="7700" max="7700" width="14.5546875" style="3" customWidth="1"/>
    <col min="7701" max="7701" width="16.33203125" style="3" customWidth="1"/>
    <col min="7702" max="7702" width="18.109375" style="3" customWidth="1"/>
    <col min="7703" max="7703" width="14.109375" style="3" customWidth="1"/>
    <col min="7704" max="7930" width="0" style="3" hidden="1"/>
    <col min="7931" max="7931" width="7.5546875" style="3" customWidth="1"/>
    <col min="7932" max="7932" width="36.77734375" style="3" customWidth="1"/>
    <col min="7933" max="7934" width="0" style="3" hidden="1"/>
    <col min="7935" max="7935" width="16.6640625" style="3" customWidth="1"/>
    <col min="7936" max="7936" width="17.33203125" style="3" customWidth="1"/>
    <col min="7937" max="7937" width="15.5546875" style="3" customWidth="1"/>
    <col min="7938" max="7938" width="0" style="3" hidden="1"/>
    <col min="7939" max="7939" width="16.6640625" style="3" customWidth="1"/>
    <col min="7940" max="7940" width="17.44140625" style="3" customWidth="1"/>
    <col min="7941" max="7942" width="0" style="3" hidden="1"/>
    <col min="7943" max="7945" width="15.33203125" style="3" customWidth="1"/>
    <col min="7946" max="7946" width="17" style="3" customWidth="1"/>
    <col min="7947" max="7947" width="0" style="3" hidden="1"/>
    <col min="7948" max="7949" width="15.5546875" style="3" customWidth="1"/>
    <col min="7950" max="7950" width="13.6640625" style="3" customWidth="1"/>
    <col min="7951" max="7951" width="9" style="3" customWidth="1"/>
    <col min="7952" max="7952" width="49.88671875" style="3" customWidth="1"/>
    <col min="7953" max="7953" width="0" style="3" hidden="1"/>
    <col min="7954" max="7955" width="15.88671875" style="3" customWidth="1"/>
    <col min="7956" max="7956" width="14.5546875" style="3" customWidth="1"/>
    <col min="7957" max="7957" width="16.33203125" style="3" customWidth="1"/>
    <col min="7958" max="7958" width="18.109375" style="3" customWidth="1"/>
    <col min="7959" max="7959" width="14.109375" style="3" customWidth="1"/>
    <col min="7960" max="8186" width="0" style="3" hidden="1"/>
    <col min="8187" max="8187" width="7.5546875" style="3" customWidth="1"/>
    <col min="8188" max="8188" width="36.77734375" style="3" customWidth="1"/>
    <col min="8189" max="8190" width="0" style="3" hidden="1"/>
    <col min="8191" max="8191" width="16.6640625" style="3" customWidth="1"/>
    <col min="8192" max="8192" width="17.33203125" style="3" customWidth="1"/>
    <col min="8193" max="8193" width="15.5546875" style="3" customWidth="1"/>
    <col min="8194" max="8194" width="0" style="3" hidden="1"/>
    <col min="8195" max="8195" width="16.6640625" style="3" customWidth="1"/>
    <col min="8196" max="8196" width="17.44140625" style="3" customWidth="1"/>
    <col min="8197" max="8198" width="0" style="3" hidden="1"/>
    <col min="8199" max="8201" width="15.33203125" style="3" customWidth="1"/>
    <col min="8202" max="8202" width="17" style="3" customWidth="1"/>
    <col min="8203" max="8203" width="0" style="3" hidden="1"/>
    <col min="8204" max="8205" width="15.5546875" style="3" customWidth="1"/>
    <col min="8206" max="8206" width="13.6640625" style="3" customWidth="1"/>
    <col min="8207" max="8207" width="9" style="3" customWidth="1"/>
    <col min="8208" max="8208" width="49.88671875" style="3" customWidth="1"/>
    <col min="8209" max="8209" width="0" style="3" hidden="1"/>
    <col min="8210" max="8211" width="15.88671875" style="3" customWidth="1"/>
    <col min="8212" max="8212" width="14.5546875" style="3" customWidth="1"/>
    <col min="8213" max="8213" width="16.33203125" style="3" customWidth="1"/>
    <col min="8214" max="8214" width="18.109375" style="3" customWidth="1"/>
    <col min="8215" max="8215" width="14.109375" style="3" customWidth="1"/>
    <col min="8216" max="8442" width="0" style="3" hidden="1"/>
    <col min="8443" max="8443" width="7.5546875" style="3" customWidth="1"/>
    <col min="8444" max="8444" width="36.77734375" style="3" customWidth="1"/>
    <col min="8445" max="8446" width="0" style="3" hidden="1"/>
    <col min="8447" max="8447" width="16.6640625" style="3" customWidth="1"/>
    <col min="8448" max="8448" width="17.33203125" style="3" customWidth="1"/>
    <col min="8449" max="8449" width="15.5546875" style="3" customWidth="1"/>
    <col min="8450" max="8450" width="0" style="3" hidden="1"/>
    <col min="8451" max="8451" width="16.6640625" style="3" customWidth="1"/>
    <col min="8452" max="8452" width="17.44140625" style="3" customWidth="1"/>
    <col min="8453" max="8454" width="0" style="3" hidden="1"/>
    <col min="8455" max="8457" width="15.33203125" style="3" customWidth="1"/>
    <col min="8458" max="8458" width="17" style="3" customWidth="1"/>
    <col min="8459" max="8459" width="0" style="3" hidden="1"/>
    <col min="8460" max="8461" width="15.5546875" style="3" customWidth="1"/>
    <col min="8462" max="8462" width="13.6640625" style="3" customWidth="1"/>
    <col min="8463" max="8463" width="9" style="3" customWidth="1"/>
    <col min="8464" max="8464" width="49.88671875" style="3" customWidth="1"/>
    <col min="8465" max="8465" width="0" style="3" hidden="1"/>
    <col min="8466" max="8467" width="15.88671875" style="3" customWidth="1"/>
    <col min="8468" max="8468" width="14.5546875" style="3" customWidth="1"/>
    <col min="8469" max="8469" width="16.33203125" style="3" customWidth="1"/>
    <col min="8470" max="8470" width="18.109375" style="3" customWidth="1"/>
    <col min="8471" max="8471" width="14.109375" style="3" customWidth="1"/>
    <col min="8472" max="8698" width="0" style="3" hidden="1"/>
    <col min="8699" max="8699" width="7.5546875" style="3" customWidth="1"/>
    <col min="8700" max="8700" width="36.77734375" style="3" customWidth="1"/>
    <col min="8701" max="8702" width="0" style="3" hidden="1"/>
    <col min="8703" max="8703" width="16.6640625" style="3" customWidth="1"/>
    <col min="8704" max="8704" width="17.33203125" style="3" customWidth="1"/>
    <col min="8705" max="8705" width="15.5546875" style="3" customWidth="1"/>
    <col min="8706" max="8706" width="0" style="3" hidden="1"/>
    <col min="8707" max="8707" width="16.6640625" style="3" customWidth="1"/>
    <col min="8708" max="8708" width="17.44140625" style="3" customWidth="1"/>
    <col min="8709" max="8710" width="0" style="3" hidden="1"/>
    <col min="8711" max="8713" width="15.33203125" style="3" customWidth="1"/>
    <col min="8714" max="8714" width="17" style="3" customWidth="1"/>
    <col min="8715" max="8715" width="0" style="3" hidden="1"/>
    <col min="8716" max="8717" width="15.5546875" style="3" customWidth="1"/>
    <col min="8718" max="8718" width="13.6640625" style="3" customWidth="1"/>
    <col min="8719" max="8719" width="9" style="3" customWidth="1"/>
    <col min="8720" max="8720" width="49.88671875" style="3" customWidth="1"/>
    <col min="8721" max="8721" width="0" style="3" hidden="1"/>
    <col min="8722" max="8723" width="15.88671875" style="3" customWidth="1"/>
    <col min="8724" max="8724" width="14.5546875" style="3" customWidth="1"/>
    <col min="8725" max="8725" width="16.33203125" style="3" customWidth="1"/>
    <col min="8726" max="8726" width="18.109375" style="3" customWidth="1"/>
    <col min="8727" max="8727" width="14.109375" style="3" customWidth="1"/>
    <col min="8728" max="8954" width="0" style="3" hidden="1"/>
    <col min="8955" max="8955" width="7.5546875" style="3" customWidth="1"/>
    <col min="8956" max="8956" width="36.77734375" style="3" customWidth="1"/>
    <col min="8957" max="8958" width="0" style="3" hidden="1"/>
    <col min="8959" max="8959" width="16.6640625" style="3" customWidth="1"/>
    <col min="8960" max="8960" width="17.33203125" style="3" customWidth="1"/>
    <col min="8961" max="8961" width="15.5546875" style="3" customWidth="1"/>
    <col min="8962" max="8962" width="0" style="3" hidden="1"/>
    <col min="8963" max="8963" width="16.6640625" style="3" customWidth="1"/>
    <col min="8964" max="8964" width="17.44140625" style="3" customWidth="1"/>
    <col min="8965" max="8966" width="0" style="3" hidden="1"/>
    <col min="8967" max="8969" width="15.33203125" style="3" customWidth="1"/>
    <col min="8970" max="8970" width="17" style="3" customWidth="1"/>
    <col min="8971" max="8971" width="0" style="3" hidden="1"/>
    <col min="8972" max="8973" width="15.5546875" style="3" customWidth="1"/>
    <col min="8974" max="8974" width="13.6640625" style="3" customWidth="1"/>
    <col min="8975" max="8975" width="9" style="3" customWidth="1"/>
    <col min="8976" max="8976" width="49.88671875" style="3" customWidth="1"/>
    <col min="8977" max="8977" width="0" style="3" hidden="1"/>
    <col min="8978" max="8979" width="15.88671875" style="3" customWidth="1"/>
    <col min="8980" max="8980" width="14.5546875" style="3" customWidth="1"/>
    <col min="8981" max="8981" width="16.33203125" style="3" customWidth="1"/>
    <col min="8982" max="8982" width="18.109375" style="3" customWidth="1"/>
    <col min="8983" max="8983" width="14.109375" style="3" customWidth="1"/>
    <col min="8984" max="9210" width="0" style="3" hidden="1"/>
    <col min="9211" max="9211" width="7.5546875" style="3" customWidth="1"/>
    <col min="9212" max="9212" width="36.77734375" style="3" customWidth="1"/>
    <col min="9213" max="9214" width="0" style="3" hidden="1"/>
    <col min="9215" max="9215" width="16.6640625" style="3" customWidth="1"/>
    <col min="9216" max="9216" width="17.33203125" style="3" customWidth="1"/>
    <col min="9217" max="9217" width="15.5546875" style="3" customWidth="1"/>
    <col min="9218" max="9218" width="0" style="3" hidden="1"/>
    <col min="9219" max="9219" width="16.6640625" style="3" customWidth="1"/>
    <col min="9220" max="9220" width="17.44140625" style="3" customWidth="1"/>
    <col min="9221" max="9222" width="0" style="3" hidden="1"/>
    <col min="9223" max="9225" width="15.33203125" style="3" customWidth="1"/>
    <col min="9226" max="9226" width="17" style="3" customWidth="1"/>
    <col min="9227" max="9227" width="0" style="3" hidden="1"/>
    <col min="9228" max="9229" width="15.5546875" style="3" customWidth="1"/>
    <col min="9230" max="9230" width="13.6640625" style="3" customWidth="1"/>
    <col min="9231" max="9231" width="9" style="3" customWidth="1"/>
    <col min="9232" max="9232" width="49.88671875" style="3" customWidth="1"/>
    <col min="9233" max="9233" width="0" style="3" hidden="1"/>
    <col min="9234" max="9235" width="15.88671875" style="3" customWidth="1"/>
    <col min="9236" max="9236" width="14.5546875" style="3" customWidth="1"/>
    <col min="9237" max="9237" width="16.33203125" style="3" customWidth="1"/>
    <col min="9238" max="9238" width="18.109375" style="3" customWidth="1"/>
    <col min="9239" max="9239" width="14.109375" style="3" customWidth="1"/>
    <col min="9240" max="9466" width="0" style="3" hidden="1"/>
    <col min="9467" max="9467" width="7.5546875" style="3" customWidth="1"/>
    <col min="9468" max="9468" width="36.77734375" style="3" customWidth="1"/>
    <col min="9469" max="9470" width="0" style="3" hidden="1"/>
    <col min="9471" max="9471" width="16.6640625" style="3" customWidth="1"/>
    <col min="9472" max="9472" width="17.33203125" style="3" customWidth="1"/>
    <col min="9473" max="9473" width="15.5546875" style="3" customWidth="1"/>
    <col min="9474" max="9474" width="0" style="3" hidden="1"/>
    <col min="9475" max="9475" width="16.6640625" style="3" customWidth="1"/>
    <col min="9476" max="9476" width="17.44140625" style="3" customWidth="1"/>
    <col min="9477" max="9478" width="0" style="3" hidden="1"/>
    <col min="9479" max="9481" width="15.33203125" style="3" customWidth="1"/>
    <col min="9482" max="9482" width="17" style="3" customWidth="1"/>
    <col min="9483" max="9483" width="0" style="3" hidden="1"/>
    <col min="9484" max="9485" width="15.5546875" style="3" customWidth="1"/>
    <col min="9486" max="9486" width="13.6640625" style="3" customWidth="1"/>
    <col min="9487" max="9487" width="9" style="3" customWidth="1"/>
    <col min="9488" max="9488" width="49.88671875" style="3" customWidth="1"/>
    <col min="9489" max="9489" width="0" style="3" hidden="1"/>
    <col min="9490" max="9491" width="15.88671875" style="3" customWidth="1"/>
    <col min="9492" max="9492" width="14.5546875" style="3" customWidth="1"/>
    <col min="9493" max="9493" width="16.33203125" style="3" customWidth="1"/>
    <col min="9494" max="9494" width="18.109375" style="3" customWidth="1"/>
    <col min="9495" max="9495" width="14.109375" style="3" customWidth="1"/>
    <col min="9496" max="9722" width="0" style="3" hidden="1"/>
    <col min="9723" max="9723" width="7.5546875" style="3" customWidth="1"/>
    <col min="9724" max="9724" width="36.77734375" style="3" customWidth="1"/>
    <col min="9725" max="9726" width="0" style="3" hidden="1"/>
    <col min="9727" max="9727" width="16.6640625" style="3" customWidth="1"/>
    <col min="9728" max="9728" width="17.33203125" style="3" customWidth="1"/>
    <col min="9729" max="9729" width="15.5546875" style="3" customWidth="1"/>
    <col min="9730" max="9730" width="0" style="3" hidden="1"/>
    <col min="9731" max="9731" width="16.6640625" style="3" customWidth="1"/>
    <col min="9732" max="9732" width="17.44140625" style="3" customWidth="1"/>
    <col min="9733" max="9734" width="0" style="3" hidden="1"/>
    <col min="9735" max="9737" width="15.33203125" style="3" customWidth="1"/>
    <col min="9738" max="9738" width="17" style="3" customWidth="1"/>
    <col min="9739" max="9739" width="0" style="3" hidden="1"/>
    <col min="9740" max="9741" width="15.5546875" style="3" customWidth="1"/>
    <col min="9742" max="9742" width="13.6640625" style="3" customWidth="1"/>
    <col min="9743" max="9743" width="9" style="3" customWidth="1"/>
    <col min="9744" max="9744" width="49.88671875" style="3" customWidth="1"/>
    <col min="9745" max="9745" width="0" style="3" hidden="1"/>
    <col min="9746" max="9747" width="15.88671875" style="3" customWidth="1"/>
    <col min="9748" max="9748" width="14.5546875" style="3" customWidth="1"/>
    <col min="9749" max="9749" width="16.33203125" style="3" customWidth="1"/>
    <col min="9750" max="9750" width="18.109375" style="3" customWidth="1"/>
    <col min="9751" max="9751" width="14.109375" style="3" customWidth="1"/>
    <col min="9752" max="9978" width="0" style="3" hidden="1"/>
    <col min="9979" max="9979" width="7.5546875" style="3" customWidth="1"/>
    <col min="9980" max="9980" width="36.77734375" style="3" customWidth="1"/>
    <col min="9981" max="9982" width="0" style="3" hidden="1"/>
    <col min="9983" max="9983" width="16.6640625" style="3" customWidth="1"/>
    <col min="9984" max="9984" width="17.33203125" style="3" customWidth="1"/>
    <col min="9985" max="9985" width="15.5546875" style="3" customWidth="1"/>
    <col min="9986" max="9986" width="0" style="3" hidden="1"/>
    <col min="9987" max="9987" width="16.6640625" style="3" customWidth="1"/>
    <col min="9988" max="9988" width="17.44140625" style="3" customWidth="1"/>
    <col min="9989" max="9990" width="0" style="3" hidden="1"/>
    <col min="9991" max="9993" width="15.33203125" style="3" customWidth="1"/>
    <col min="9994" max="9994" width="17" style="3" customWidth="1"/>
    <col min="9995" max="9995" width="0" style="3" hidden="1"/>
    <col min="9996" max="9997" width="15.5546875" style="3" customWidth="1"/>
    <col min="9998" max="9998" width="13.6640625" style="3" customWidth="1"/>
    <col min="9999" max="9999" width="9" style="3" customWidth="1"/>
    <col min="10000" max="10000" width="49.88671875" style="3" customWidth="1"/>
    <col min="10001" max="10001" width="0" style="3" hidden="1"/>
    <col min="10002" max="10003" width="15.88671875" style="3" customWidth="1"/>
    <col min="10004" max="10004" width="14.5546875" style="3" customWidth="1"/>
    <col min="10005" max="10005" width="16.33203125" style="3" customWidth="1"/>
    <col min="10006" max="10006" width="18.109375" style="3" customWidth="1"/>
    <col min="10007" max="10007" width="14.109375" style="3" customWidth="1"/>
    <col min="10008" max="10234" width="0" style="3" hidden="1"/>
    <col min="10235" max="10235" width="7.5546875" style="3" customWidth="1"/>
    <col min="10236" max="10236" width="36.77734375" style="3" customWidth="1"/>
    <col min="10237" max="10238" width="0" style="3" hidden="1"/>
    <col min="10239" max="10239" width="16.6640625" style="3" customWidth="1"/>
    <col min="10240" max="10240" width="17.33203125" style="3" customWidth="1"/>
    <col min="10241" max="10241" width="15.5546875" style="3" customWidth="1"/>
    <col min="10242" max="10242" width="0" style="3" hidden="1"/>
    <col min="10243" max="10243" width="16.6640625" style="3" customWidth="1"/>
    <col min="10244" max="10244" width="17.44140625" style="3" customWidth="1"/>
    <col min="10245" max="10246" width="0" style="3" hidden="1"/>
    <col min="10247" max="10249" width="15.33203125" style="3" customWidth="1"/>
    <col min="10250" max="10250" width="17" style="3" customWidth="1"/>
    <col min="10251" max="10251" width="0" style="3" hidden="1"/>
    <col min="10252" max="10253" width="15.5546875" style="3" customWidth="1"/>
    <col min="10254" max="10254" width="13.6640625" style="3" customWidth="1"/>
    <col min="10255" max="10255" width="9" style="3" customWidth="1"/>
    <col min="10256" max="10256" width="49.88671875" style="3" customWidth="1"/>
    <col min="10257" max="10257" width="0" style="3" hidden="1"/>
    <col min="10258" max="10259" width="15.88671875" style="3" customWidth="1"/>
    <col min="10260" max="10260" width="14.5546875" style="3" customWidth="1"/>
    <col min="10261" max="10261" width="16.33203125" style="3" customWidth="1"/>
    <col min="10262" max="10262" width="18.109375" style="3" customWidth="1"/>
    <col min="10263" max="10263" width="14.109375" style="3" customWidth="1"/>
    <col min="10264" max="10490" width="0" style="3" hidden="1"/>
    <col min="10491" max="10491" width="7.5546875" style="3" customWidth="1"/>
    <col min="10492" max="10492" width="36.77734375" style="3" customWidth="1"/>
    <col min="10493" max="10494" width="0" style="3" hidden="1"/>
    <col min="10495" max="10495" width="16.6640625" style="3" customWidth="1"/>
    <col min="10496" max="10496" width="17.33203125" style="3" customWidth="1"/>
    <col min="10497" max="10497" width="15.5546875" style="3" customWidth="1"/>
    <col min="10498" max="10498" width="0" style="3" hidden="1"/>
    <col min="10499" max="10499" width="16.6640625" style="3" customWidth="1"/>
    <col min="10500" max="10500" width="17.44140625" style="3" customWidth="1"/>
    <col min="10501" max="10502" width="0" style="3" hidden="1"/>
    <col min="10503" max="10505" width="15.33203125" style="3" customWidth="1"/>
    <col min="10506" max="10506" width="17" style="3" customWidth="1"/>
    <col min="10507" max="10507" width="0" style="3" hidden="1"/>
    <col min="10508" max="10509" width="15.5546875" style="3" customWidth="1"/>
    <col min="10510" max="10510" width="13.6640625" style="3" customWidth="1"/>
    <col min="10511" max="10511" width="9" style="3" customWidth="1"/>
    <col min="10512" max="10512" width="49.88671875" style="3" customWidth="1"/>
    <col min="10513" max="10513" width="0" style="3" hidden="1"/>
    <col min="10514" max="10515" width="15.88671875" style="3" customWidth="1"/>
    <col min="10516" max="10516" width="14.5546875" style="3" customWidth="1"/>
    <col min="10517" max="10517" width="16.33203125" style="3" customWidth="1"/>
    <col min="10518" max="10518" width="18.109375" style="3" customWidth="1"/>
    <col min="10519" max="10519" width="14.109375" style="3" customWidth="1"/>
    <col min="10520" max="10746" width="0" style="3" hidden="1"/>
    <col min="10747" max="10747" width="7.5546875" style="3" customWidth="1"/>
    <col min="10748" max="10748" width="36.77734375" style="3" customWidth="1"/>
    <col min="10749" max="10750" width="0" style="3" hidden="1"/>
    <col min="10751" max="10751" width="16.6640625" style="3" customWidth="1"/>
    <col min="10752" max="10752" width="17.33203125" style="3" customWidth="1"/>
    <col min="10753" max="10753" width="15.5546875" style="3" customWidth="1"/>
    <col min="10754" max="10754" width="0" style="3" hidden="1"/>
    <col min="10755" max="10755" width="16.6640625" style="3" customWidth="1"/>
    <col min="10756" max="10756" width="17.44140625" style="3" customWidth="1"/>
    <col min="10757" max="10758" width="0" style="3" hidden="1"/>
    <col min="10759" max="10761" width="15.33203125" style="3" customWidth="1"/>
    <col min="10762" max="10762" width="17" style="3" customWidth="1"/>
    <col min="10763" max="10763" width="0" style="3" hidden="1"/>
    <col min="10764" max="10765" width="15.5546875" style="3" customWidth="1"/>
    <col min="10766" max="10766" width="13.6640625" style="3" customWidth="1"/>
    <col min="10767" max="10767" width="9" style="3" customWidth="1"/>
    <col min="10768" max="10768" width="49.88671875" style="3" customWidth="1"/>
    <col min="10769" max="10769" width="0" style="3" hidden="1"/>
    <col min="10770" max="10771" width="15.88671875" style="3" customWidth="1"/>
    <col min="10772" max="10772" width="14.5546875" style="3" customWidth="1"/>
    <col min="10773" max="10773" width="16.33203125" style="3" customWidth="1"/>
    <col min="10774" max="10774" width="18.109375" style="3" customWidth="1"/>
    <col min="10775" max="10775" width="14.109375" style="3" customWidth="1"/>
    <col min="10776" max="11002" width="0" style="3" hidden="1"/>
    <col min="11003" max="11003" width="7.5546875" style="3" customWidth="1"/>
    <col min="11004" max="11004" width="36.77734375" style="3" customWidth="1"/>
    <col min="11005" max="11006" width="0" style="3" hidden="1"/>
    <col min="11007" max="11007" width="16.6640625" style="3" customWidth="1"/>
    <col min="11008" max="11008" width="17.33203125" style="3" customWidth="1"/>
    <col min="11009" max="11009" width="15.5546875" style="3" customWidth="1"/>
    <col min="11010" max="11010" width="0" style="3" hidden="1"/>
    <col min="11011" max="11011" width="16.6640625" style="3" customWidth="1"/>
    <col min="11012" max="11012" width="17.44140625" style="3" customWidth="1"/>
    <col min="11013" max="11014" width="0" style="3" hidden="1"/>
    <col min="11015" max="11017" width="15.33203125" style="3" customWidth="1"/>
    <col min="11018" max="11018" width="17" style="3" customWidth="1"/>
    <col min="11019" max="11019" width="0" style="3" hidden="1"/>
    <col min="11020" max="11021" width="15.5546875" style="3" customWidth="1"/>
    <col min="11022" max="11022" width="13.6640625" style="3" customWidth="1"/>
    <col min="11023" max="11023" width="9" style="3" customWidth="1"/>
    <col min="11024" max="11024" width="49.88671875" style="3" customWidth="1"/>
    <col min="11025" max="11025" width="0" style="3" hidden="1"/>
    <col min="11026" max="11027" width="15.88671875" style="3" customWidth="1"/>
    <col min="11028" max="11028" width="14.5546875" style="3" customWidth="1"/>
    <col min="11029" max="11029" width="16.33203125" style="3" customWidth="1"/>
    <col min="11030" max="11030" width="18.109375" style="3" customWidth="1"/>
    <col min="11031" max="11031" width="14.109375" style="3" customWidth="1"/>
    <col min="11032" max="11258" width="0" style="3" hidden="1"/>
    <col min="11259" max="11259" width="7.5546875" style="3" customWidth="1"/>
    <col min="11260" max="11260" width="36.77734375" style="3" customWidth="1"/>
    <col min="11261" max="11262" width="0" style="3" hidden="1"/>
    <col min="11263" max="11263" width="16.6640625" style="3" customWidth="1"/>
    <col min="11264" max="11264" width="17.33203125" style="3" customWidth="1"/>
    <col min="11265" max="11265" width="15.5546875" style="3" customWidth="1"/>
    <col min="11266" max="11266" width="0" style="3" hidden="1"/>
    <col min="11267" max="11267" width="16.6640625" style="3" customWidth="1"/>
    <col min="11268" max="11268" width="17.44140625" style="3" customWidth="1"/>
    <col min="11269" max="11270" width="0" style="3" hidden="1"/>
    <col min="11271" max="11273" width="15.33203125" style="3" customWidth="1"/>
    <col min="11274" max="11274" width="17" style="3" customWidth="1"/>
    <col min="11275" max="11275" width="0" style="3" hidden="1"/>
    <col min="11276" max="11277" width="15.5546875" style="3" customWidth="1"/>
    <col min="11278" max="11278" width="13.6640625" style="3" customWidth="1"/>
    <col min="11279" max="11279" width="9" style="3" customWidth="1"/>
    <col min="11280" max="11280" width="49.88671875" style="3" customWidth="1"/>
    <col min="11281" max="11281" width="0" style="3" hidden="1"/>
    <col min="11282" max="11283" width="15.88671875" style="3" customWidth="1"/>
    <col min="11284" max="11284" width="14.5546875" style="3" customWidth="1"/>
    <col min="11285" max="11285" width="16.33203125" style="3" customWidth="1"/>
    <col min="11286" max="11286" width="18.109375" style="3" customWidth="1"/>
    <col min="11287" max="11287" width="14.109375" style="3" customWidth="1"/>
    <col min="11288" max="11514" width="0" style="3" hidden="1"/>
    <col min="11515" max="11515" width="7.5546875" style="3" customWidth="1"/>
    <col min="11516" max="11516" width="36.77734375" style="3" customWidth="1"/>
    <col min="11517" max="11518" width="0" style="3" hidden="1"/>
    <col min="11519" max="11519" width="16.6640625" style="3" customWidth="1"/>
    <col min="11520" max="11520" width="17.33203125" style="3" customWidth="1"/>
    <col min="11521" max="11521" width="15.5546875" style="3" customWidth="1"/>
    <col min="11522" max="11522" width="0" style="3" hidden="1"/>
    <col min="11523" max="11523" width="16.6640625" style="3" customWidth="1"/>
    <col min="11524" max="11524" width="17.44140625" style="3" customWidth="1"/>
    <col min="11525" max="11526" width="0" style="3" hidden="1"/>
    <col min="11527" max="11529" width="15.33203125" style="3" customWidth="1"/>
    <col min="11530" max="11530" width="17" style="3" customWidth="1"/>
    <col min="11531" max="11531" width="0" style="3" hidden="1"/>
    <col min="11532" max="11533" width="15.5546875" style="3" customWidth="1"/>
    <col min="11534" max="11534" width="13.6640625" style="3" customWidth="1"/>
    <col min="11535" max="11535" width="9" style="3" customWidth="1"/>
    <col min="11536" max="11536" width="49.88671875" style="3" customWidth="1"/>
    <col min="11537" max="11537" width="0" style="3" hidden="1"/>
    <col min="11538" max="11539" width="15.88671875" style="3" customWidth="1"/>
    <col min="11540" max="11540" width="14.5546875" style="3" customWidth="1"/>
    <col min="11541" max="11541" width="16.33203125" style="3" customWidth="1"/>
    <col min="11542" max="11542" width="18.109375" style="3" customWidth="1"/>
    <col min="11543" max="11543" width="14.109375" style="3" customWidth="1"/>
    <col min="11544" max="11770" width="0" style="3" hidden="1"/>
    <col min="11771" max="11771" width="7.5546875" style="3" customWidth="1"/>
    <col min="11772" max="11772" width="36.77734375" style="3" customWidth="1"/>
    <col min="11773" max="11774" width="0" style="3" hidden="1"/>
    <col min="11775" max="11775" width="16.6640625" style="3" customWidth="1"/>
    <col min="11776" max="11776" width="17.33203125" style="3" customWidth="1"/>
    <col min="11777" max="11777" width="15.5546875" style="3" customWidth="1"/>
    <col min="11778" max="11778" width="0" style="3" hidden="1"/>
    <col min="11779" max="11779" width="16.6640625" style="3" customWidth="1"/>
    <col min="11780" max="11780" width="17.44140625" style="3" customWidth="1"/>
    <col min="11781" max="11782" width="0" style="3" hidden="1"/>
    <col min="11783" max="11785" width="15.33203125" style="3" customWidth="1"/>
    <col min="11786" max="11786" width="17" style="3" customWidth="1"/>
    <col min="11787" max="11787" width="0" style="3" hidden="1"/>
    <col min="11788" max="11789" width="15.5546875" style="3" customWidth="1"/>
    <col min="11790" max="11790" width="13.6640625" style="3" customWidth="1"/>
    <col min="11791" max="11791" width="9" style="3" customWidth="1"/>
    <col min="11792" max="11792" width="49.88671875" style="3" customWidth="1"/>
    <col min="11793" max="11793" width="0" style="3" hidden="1"/>
    <col min="11794" max="11795" width="15.88671875" style="3" customWidth="1"/>
    <col min="11796" max="11796" width="14.5546875" style="3" customWidth="1"/>
    <col min="11797" max="11797" width="16.33203125" style="3" customWidth="1"/>
    <col min="11798" max="11798" width="18.109375" style="3" customWidth="1"/>
    <col min="11799" max="11799" width="14.109375" style="3" customWidth="1"/>
    <col min="11800" max="12026" width="0" style="3" hidden="1"/>
    <col min="12027" max="12027" width="7.5546875" style="3" customWidth="1"/>
    <col min="12028" max="12028" width="36.77734375" style="3" customWidth="1"/>
    <col min="12029" max="12030" width="0" style="3" hidden="1"/>
    <col min="12031" max="12031" width="16.6640625" style="3" customWidth="1"/>
    <col min="12032" max="12032" width="17.33203125" style="3" customWidth="1"/>
    <col min="12033" max="12033" width="15.5546875" style="3" customWidth="1"/>
    <col min="12034" max="12034" width="0" style="3" hidden="1"/>
    <col min="12035" max="12035" width="16.6640625" style="3" customWidth="1"/>
    <col min="12036" max="12036" width="17.44140625" style="3" customWidth="1"/>
    <col min="12037" max="12038" width="0" style="3" hidden="1"/>
    <col min="12039" max="12041" width="15.33203125" style="3" customWidth="1"/>
    <col min="12042" max="12042" width="17" style="3" customWidth="1"/>
    <col min="12043" max="12043" width="0" style="3" hidden="1"/>
    <col min="12044" max="12045" width="15.5546875" style="3" customWidth="1"/>
    <col min="12046" max="12046" width="13.6640625" style="3" customWidth="1"/>
    <col min="12047" max="12047" width="9" style="3" customWidth="1"/>
    <col min="12048" max="12048" width="49.88671875" style="3" customWidth="1"/>
    <col min="12049" max="12049" width="0" style="3" hidden="1"/>
    <col min="12050" max="12051" width="15.88671875" style="3" customWidth="1"/>
    <col min="12052" max="12052" width="14.5546875" style="3" customWidth="1"/>
    <col min="12053" max="12053" width="16.33203125" style="3" customWidth="1"/>
    <col min="12054" max="12054" width="18.109375" style="3" customWidth="1"/>
    <col min="12055" max="12055" width="14.109375" style="3" customWidth="1"/>
    <col min="12056" max="12282" width="0" style="3" hidden="1"/>
    <col min="12283" max="12283" width="7.5546875" style="3" customWidth="1"/>
    <col min="12284" max="12284" width="36.77734375" style="3" customWidth="1"/>
    <col min="12285" max="12286" width="0" style="3" hidden="1"/>
    <col min="12287" max="12287" width="16.6640625" style="3" customWidth="1"/>
    <col min="12288" max="12288" width="17.33203125" style="3" customWidth="1"/>
    <col min="12289" max="12289" width="15.5546875" style="3" customWidth="1"/>
    <col min="12290" max="12290" width="0" style="3" hidden="1"/>
    <col min="12291" max="12291" width="16.6640625" style="3" customWidth="1"/>
    <col min="12292" max="12292" width="17.44140625" style="3" customWidth="1"/>
    <col min="12293" max="12294" width="0" style="3" hidden="1"/>
    <col min="12295" max="12297" width="15.33203125" style="3" customWidth="1"/>
    <col min="12298" max="12298" width="17" style="3" customWidth="1"/>
    <col min="12299" max="12299" width="0" style="3" hidden="1"/>
    <col min="12300" max="12301" width="15.5546875" style="3" customWidth="1"/>
    <col min="12302" max="12302" width="13.6640625" style="3" customWidth="1"/>
    <col min="12303" max="12303" width="9" style="3" customWidth="1"/>
    <col min="12304" max="12304" width="49.88671875" style="3" customWidth="1"/>
    <col min="12305" max="12305" width="0" style="3" hidden="1"/>
    <col min="12306" max="12307" width="15.88671875" style="3" customWidth="1"/>
    <col min="12308" max="12308" width="14.5546875" style="3" customWidth="1"/>
    <col min="12309" max="12309" width="16.33203125" style="3" customWidth="1"/>
    <col min="12310" max="12310" width="18.109375" style="3" customWidth="1"/>
    <col min="12311" max="12311" width="14.109375" style="3" customWidth="1"/>
    <col min="12312" max="12538" width="0" style="3" hidden="1"/>
    <col min="12539" max="12539" width="7.5546875" style="3" customWidth="1"/>
    <col min="12540" max="12540" width="36.77734375" style="3" customWidth="1"/>
    <col min="12541" max="12542" width="0" style="3" hidden="1"/>
    <col min="12543" max="12543" width="16.6640625" style="3" customWidth="1"/>
    <col min="12544" max="12544" width="17.33203125" style="3" customWidth="1"/>
    <col min="12545" max="12545" width="15.5546875" style="3" customWidth="1"/>
    <col min="12546" max="12546" width="0" style="3" hidden="1"/>
    <col min="12547" max="12547" width="16.6640625" style="3" customWidth="1"/>
    <col min="12548" max="12548" width="17.44140625" style="3" customWidth="1"/>
    <col min="12549" max="12550" width="0" style="3" hidden="1"/>
    <col min="12551" max="12553" width="15.33203125" style="3" customWidth="1"/>
    <col min="12554" max="12554" width="17" style="3" customWidth="1"/>
    <col min="12555" max="12555" width="0" style="3" hidden="1"/>
    <col min="12556" max="12557" width="15.5546875" style="3" customWidth="1"/>
    <col min="12558" max="12558" width="13.6640625" style="3" customWidth="1"/>
    <col min="12559" max="12559" width="9" style="3" customWidth="1"/>
    <col min="12560" max="12560" width="49.88671875" style="3" customWidth="1"/>
    <col min="12561" max="12561" width="0" style="3" hidden="1"/>
    <col min="12562" max="12563" width="15.88671875" style="3" customWidth="1"/>
    <col min="12564" max="12564" width="14.5546875" style="3" customWidth="1"/>
    <col min="12565" max="12565" width="16.33203125" style="3" customWidth="1"/>
    <col min="12566" max="12566" width="18.109375" style="3" customWidth="1"/>
    <col min="12567" max="12567" width="14.109375" style="3" customWidth="1"/>
    <col min="12568" max="12794" width="0" style="3" hidden="1"/>
    <col min="12795" max="12795" width="7.5546875" style="3" customWidth="1"/>
    <col min="12796" max="12796" width="36.77734375" style="3" customWidth="1"/>
    <col min="12797" max="12798" width="0" style="3" hidden="1"/>
    <col min="12799" max="12799" width="16.6640625" style="3" customWidth="1"/>
    <col min="12800" max="12800" width="17.33203125" style="3" customWidth="1"/>
    <col min="12801" max="12801" width="15.5546875" style="3" customWidth="1"/>
    <col min="12802" max="12802" width="0" style="3" hidden="1"/>
    <col min="12803" max="12803" width="16.6640625" style="3" customWidth="1"/>
    <col min="12804" max="12804" width="17.44140625" style="3" customWidth="1"/>
    <col min="12805" max="12806" width="0" style="3" hidden="1"/>
    <col min="12807" max="12809" width="15.33203125" style="3" customWidth="1"/>
    <col min="12810" max="12810" width="17" style="3" customWidth="1"/>
    <col min="12811" max="12811" width="0" style="3" hidden="1"/>
    <col min="12812" max="12813" width="15.5546875" style="3" customWidth="1"/>
    <col min="12814" max="12814" width="13.6640625" style="3" customWidth="1"/>
    <col min="12815" max="12815" width="9" style="3" customWidth="1"/>
    <col min="12816" max="12816" width="49.88671875" style="3" customWidth="1"/>
    <col min="12817" max="12817" width="0" style="3" hidden="1"/>
    <col min="12818" max="12819" width="15.88671875" style="3" customWidth="1"/>
    <col min="12820" max="12820" width="14.5546875" style="3" customWidth="1"/>
    <col min="12821" max="12821" width="16.33203125" style="3" customWidth="1"/>
    <col min="12822" max="12822" width="18.109375" style="3" customWidth="1"/>
    <col min="12823" max="12823" width="14.109375" style="3" customWidth="1"/>
    <col min="12824" max="13050" width="0" style="3" hidden="1"/>
    <col min="13051" max="13051" width="7.5546875" style="3" customWidth="1"/>
    <col min="13052" max="13052" width="36.77734375" style="3" customWidth="1"/>
    <col min="13053" max="13054" width="0" style="3" hidden="1"/>
    <col min="13055" max="13055" width="16.6640625" style="3" customWidth="1"/>
    <col min="13056" max="13056" width="17.33203125" style="3" customWidth="1"/>
    <col min="13057" max="13057" width="15.5546875" style="3" customWidth="1"/>
    <col min="13058" max="13058" width="0" style="3" hidden="1"/>
    <col min="13059" max="13059" width="16.6640625" style="3" customWidth="1"/>
    <col min="13060" max="13060" width="17.44140625" style="3" customWidth="1"/>
    <col min="13061" max="13062" width="0" style="3" hidden="1"/>
    <col min="13063" max="13065" width="15.33203125" style="3" customWidth="1"/>
    <col min="13066" max="13066" width="17" style="3" customWidth="1"/>
    <col min="13067" max="13067" width="0" style="3" hidden="1"/>
    <col min="13068" max="13069" width="15.5546875" style="3" customWidth="1"/>
    <col min="13070" max="13070" width="13.6640625" style="3" customWidth="1"/>
    <col min="13071" max="13071" width="9" style="3" customWidth="1"/>
    <col min="13072" max="13072" width="49.88671875" style="3" customWidth="1"/>
    <col min="13073" max="13073" width="0" style="3" hidden="1"/>
    <col min="13074" max="13075" width="15.88671875" style="3" customWidth="1"/>
    <col min="13076" max="13076" width="14.5546875" style="3" customWidth="1"/>
    <col min="13077" max="13077" width="16.33203125" style="3" customWidth="1"/>
    <col min="13078" max="13078" width="18.109375" style="3" customWidth="1"/>
    <col min="13079" max="13079" width="14.109375" style="3" customWidth="1"/>
    <col min="13080" max="13306" width="0" style="3" hidden="1"/>
    <col min="13307" max="13307" width="7.5546875" style="3" customWidth="1"/>
    <col min="13308" max="13308" width="36.77734375" style="3" customWidth="1"/>
    <col min="13309" max="13310" width="0" style="3" hidden="1"/>
    <col min="13311" max="13311" width="16.6640625" style="3" customWidth="1"/>
    <col min="13312" max="13312" width="17.33203125" style="3" customWidth="1"/>
    <col min="13313" max="13313" width="15.5546875" style="3" customWidth="1"/>
    <col min="13314" max="13314" width="0" style="3" hidden="1"/>
    <col min="13315" max="13315" width="16.6640625" style="3" customWidth="1"/>
    <col min="13316" max="13316" width="17.44140625" style="3" customWidth="1"/>
    <col min="13317" max="13318" width="0" style="3" hidden="1"/>
    <col min="13319" max="13321" width="15.33203125" style="3" customWidth="1"/>
    <col min="13322" max="13322" width="17" style="3" customWidth="1"/>
    <col min="13323" max="13323" width="0" style="3" hidden="1"/>
    <col min="13324" max="13325" width="15.5546875" style="3" customWidth="1"/>
    <col min="13326" max="13326" width="13.6640625" style="3" customWidth="1"/>
    <col min="13327" max="13327" width="9" style="3" customWidth="1"/>
    <col min="13328" max="13328" width="49.88671875" style="3" customWidth="1"/>
    <col min="13329" max="13329" width="0" style="3" hidden="1"/>
    <col min="13330" max="13331" width="15.88671875" style="3" customWidth="1"/>
    <col min="13332" max="13332" width="14.5546875" style="3" customWidth="1"/>
    <col min="13333" max="13333" width="16.33203125" style="3" customWidth="1"/>
    <col min="13334" max="13334" width="18.109375" style="3" customWidth="1"/>
    <col min="13335" max="13335" width="14.109375" style="3" customWidth="1"/>
    <col min="13336" max="13562" width="0" style="3" hidden="1"/>
    <col min="13563" max="13563" width="7.5546875" style="3" customWidth="1"/>
    <col min="13564" max="13564" width="36.77734375" style="3" customWidth="1"/>
    <col min="13565" max="13566" width="0" style="3" hidden="1"/>
    <col min="13567" max="13567" width="16.6640625" style="3" customWidth="1"/>
    <col min="13568" max="13568" width="17.33203125" style="3" customWidth="1"/>
    <col min="13569" max="13569" width="15.5546875" style="3" customWidth="1"/>
    <col min="13570" max="13570" width="0" style="3" hidden="1"/>
    <col min="13571" max="13571" width="16.6640625" style="3" customWidth="1"/>
    <col min="13572" max="13572" width="17.44140625" style="3" customWidth="1"/>
    <col min="13573" max="13574" width="0" style="3" hidden="1"/>
    <col min="13575" max="13577" width="15.33203125" style="3" customWidth="1"/>
    <col min="13578" max="13578" width="17" style="3" customWidth="1"/>
    <col min="13579" max="13579" width="0" style="3" hidden="1"/>
    <col min="13580" max="13581" width="15.5546875" style="3" customWidth="1"/>
    <col min="13582" max="13582" width="13.6640625" style="3" customWidth="1"/>
    <col min="13583" max="13583" width="9" style="3" customWidth="1"/>
    <col min="13584" max="13584" width="49.88671875" style="3" customWidth="1"/>
    <col min="13585" max="13585" width="0" style="3" hidden="1"/>
    <col min="13586" max="13587" width="15.88671875" style="3" customWidth="1"/>
    <col min="13588" max="13588" width="14.5546875" style="3" customWidth="1"/>
    <col min="13589" max="13589" width="16.33203125" style="3" customWidth="1"/>
    <col min="13590" max="13590" width="18.109375" style="3" customWidth="1"/>
    <col min="13591" max="13591" width="14.109375" style="3" customWidth="1"/>
    <col min="13592" max="13818" width="0" style="3" hidden="1"/>
    <col min="13819" max="13819" width="7.5546875" style="3" customWidth="1"/>
    <col min="13820" max="13820" width="36.77734375" style="3" customWidth="1"/>
    <col min="13821" max="13822" width="0" style="3" hidden="1"/>
    <col min="13823" max="13823" width="16.6640625" style="3" customWidth="1"/>
    <col min="13824" max="13824" width="17.33203125" style="3" customWidth="1"/>
    <col min="13825" max="13825" width="15.5546875" style="3" customWidth="1"/>
    <col min="13826" max="13826" width="0" style="3" hidden="1"/>
    <col min="13827" max="13827" width="16.6640625" style="3" customWidth="1"/>
    <col min="13828" max="13828" width="17.44140625" style="3" customWidth="1"/>
    <col min="13829" max="13830" width="0" style="3" hidden="1"/>
    <col min="13831" max="13833" width="15.33203125" style="3" customWidth="1"/>
    <col min="13834" max="13834" width="17" style="3" customWidth="1"/>
    <col min="13835" max="13835" width="0" style="3" hidden="1"/>
    <col min="13836" max="13837" width="15.5546875" style="3" customWidth="1"/>
    <col min="13838" max="13838" width="13.6640625" style="3" customWidth="1"/>
    <col min="13839" max="13839" width="9" style="3" customWidth="1"/>
    <col min="13840" max="13840" width="49.88671875" style="3" customWidth="1"/>
    <col min="13841" max="13841" width="0" style="3" hidden="1"/>
    <col min="13842" max="13843" width="15.88671875" style="3" customWidth="1"/>
    <col min="13844" max="13844" width="14.5546875" style="3" customWidth="1"/>
    <col min="13845" max="13845" width="16.33203125" style="3" customWidth="1"/>
    <col min="13846" max="13846" width="18.109375" style="3" customWidth="1"/>
    <col min="13847" max="13847" width="14.109375" style="3" customWidth="1"/>
    <col min="13848" max="14074" width="0" style="3" hidden="1"/>
    <col min="14075" max="14075" width="7.5546875" style="3" customWidth="1"/>
    <col min="14076" max="14076" width="36.77734375" style="3" customWidth="1"/>
    <col min="14077" max="14078" width="0" style="3" hidden="1"/>
    <col min="14079" max="14079" width="16.6640625" style="3" customWidth="1"/>
    <col min="14080" max="14080" width="17.33203125" style="3" customWidth="1"/>
    <col min="14081" max="14081" width="15.5546875" style="3" customWidth="1"/>
    <col min="14082" max="14082" width="0" style="3" hidden="1"/>
    <col min="14083" max="14083" width="16.6640625" style="3" customWidth="1"/>
    <col min="14084" max="14084" width="17.44140625" style="3" customWidth="1"/>
    <col min="14085" max="14086" width="0" style="3" hidden="1"/>
    <col min="14087" max="14089" width="15.33203125" style="3" customWidth="1"/>
    <col min="14090" max="14090" width="17" style="3" customWidth="1"/>
    <col min="14091" max="14091" width="0" style="3" hidden="1"/>
    <col min="14092" max="14093" width="15.5546875" style="3" customWidth="1"/>
    <col min="14094" max="14094" width="13.6640625" style="3" customWidth="1"/>
    <col min="14095" max="14095" width="9" style="3" customWidth="1"/>
    <col min="14096" max="14096" width="49.88671875" style="3" customWidth="1"/>
    <col min="14097" max="14097" width="0" style="3" hidden="1"/>
    <col min="14098" max="14099" width="15.88671875" style="3" customWidth="1"/>
    <col min="14100" max="14100" width="14.5546875" style="3" customWidth="1"/>
    <col min="14101" max="14101" width="16.33203125" style="3" customWidth="1"/>
    <col min="14102" max="14102" width="18.109375" style="3" customWidth="1"/>
    <col min="14103" max="14103" width="14.109375" style="3" customWidth="1"/>
    <col min="14104" max="14330" width="0" style="3" hidden="1"/>
    <col min="14331" max="14331" width="7.5546875" style="3" customWidth="1"/>
    <col min="14332" max="14332" width="36.77734375" style="3" customWidth="1"/>
    <col min="14333" max="14334" width="0" style="3" hidden="1"/>
    <col min="14335" max="14335" width="16.6640625" style="3" customWidth="1"/>
    <col min="14336" max="14336" width="17.33203125" style="3" customWidth="1"/>
    <col min="14337" max="14337" width="15.5546875" style="3" customWidth="1"/>
    <col min="14338" max="14338" width="0" style="3" hidden="1"/>
    <col min="14339" max="14339" width="16.6640625" style="3" customWidth="1"/>
    <col min="14340" max="14340" width="17.44140625" style="3" customWidth="1"/>
    <col min="14341" max="14342" width="0" style="3" hidden="1"/>
    <col min="14343" max="14345" width="15.33203125" style="3" customWidth="1"/>
    <col min="14346" max="14346" width="17" style="3" customWidth="1"/>
    <col min="14347" max="14347" width="0" style="3" hidden="1"/>
    <col min="14348" max="14349" width="15.5546875" style="3" customWidth="1"/>
    <col min="14350" max="14350" width="13.6640625" style="3" customWidth="1"/>
    <col min="14351" max="14351" width="9" style="3" customWidth="1"/>
    <col min="14352" max="14352" width="49.88671875" style="3" customWidth="1"/>
    <col min="14353" max="14353" width="0" style="3" hidden="1"/>
    <col min="14354" max="14355" width="15.88671875" style="3" customWidth="1"/>
    <col min="14356" max="14356" width="14.5546875" style="3" customWidth="1"/>
    <col min="14357" max="14357" width="16.33203125" style="3" customWidth="1"/>
    <col min="14358" max="14358" width="18.109375" style="3" customWidth="1"/>
    <col min="14359" max="14359" width="14.109375" style="3" customWidth="1"/>
    <col min="14360" max="14586" width="0" style="3" hidden="1"/>
    <col min="14587" max="14587" width="7.5546875" style="3" customWidth="1"/>
    <col min="14588" max="14588" width="36.77734375" style="3" customWidth="1"/>
    <col min="14589" max="14590" width="0" style="3" hidden="1"/>
    <col min="14591" max="14591" width="16.6640625" style="3" customWidth="1"/>
    <col min="14592" max="14592" width="17.33203125" style="3" customWidth="1"/>
    <col min="14593" max="14593" width="15.5546875" style="3" customWidth="1"/>
    <col min="14594" max="14594" width="0" style="3" hidden="1"/>
    <col min="14595" max="14595" width="16.6640625" style="3" customWidth="1"/>
    <col min="14596" max="14596" width="17.44140625" style="3" customWidth="1"/>
    <col min="14597" max="14598" width="0" style="3" hidden="1"/>
    <col min="14599" max="14601" width="15.33203125" style="3" customWidth="1"/>
    <col min="14602" max="14602" width="17" style="3" customWidth="1"/>
    <col min="14603" max="14603" width="0" style="3" hidden="1"/>
    <col min="14604" max="14605" width="15.5546875" style="3" customWidth="1"/>
    <col min="14606" max="14606" width="13.6640625" style="3" customWidth="1"/>
    <col min="14607" max="14607" width="9" style="3" customWidth="1"/>
    <col min="14608" max="14608" width="49.88671875" style="3" customWidth="1"/>
    <col min="14609" max="14609" width="0" style="3" hidden="1"/>
    <col min="14610" max="14611" width="15.88671875" style="3" customWidth="1"/>
    <col min="14612" max="14612" width="14.5546875" style="3" customWidth="1"/>
    <col min="14613" max="14613" width="16.33203125" style="3" customWidth="1"/>
    <col min="14614" max="14614" width="18.109375" style="3" customWidth="1"/>
    <col min="14615" max="14615" width="14.109375" style="3" customWidth="1"/>
    <col min="14616" max="14842" width="0" style="3" hidden="1"/>
    <col min="14843" max="14843" width="7.5546875" style="3" customWidth="1"/>
    <col min="14844" max="14844" width="36.77734375" style="3" customWidth="1"/>
    <col min="14845" max="14846" width="0" style="3" hidden="1"/>
    <col min="14847" max="14847" width="16.6640625" style="3" customWidth="1"/>
    <col min="14848" max="14848" width="17.33203125" style="3" customWidth="1"/>
    <col min="14849" max="14849" width="15.5546875" style="3" customWidth="1"/>
    <col min="14850" max="14850" width="0" style="3" hidden="1"/>
    <col min="14851" max="14851" width="16.6640625" style="3" customWidth="1"/>
    <col min="14852" max="14852" width="17.44140625" style="3" customWidth="1"/>
    <col min="14853" max="14854" width="0" style="3" hidden="1"/>
    <col min="14855" max="14857" width="15.33203125" style="3" customWidth="1"/>
    <col min="14858" max="14858" width="17" style="3" customWidth="1"/>
    <col min="14859" max="14859" width="0" style="3" hidden="1"/>
    <col min="14860" max="14861" width="15.5546875" style="3" customWidth="1"/>
    <col min="14862" max="14862" width="13.6640625" style="3" customWidth="1"/>
    <col min="14863" max="14863" width="9" style="3" customWidth="1"/>
    <col min="14864" max="14864" width="49.88671875" style="3" customWidth="1"/>
    <col min="14865" max="14865" width="0" style="3" hidden="1"/>
    <col min="14866" max="14867" width="15.88671875" style="3" customWidth="1"/>
    <col min="14868" max="14868" width="14.5546875" style="3" customWidth="1"/>
    <col min="14869" max="14869" width="16.33203125" style="3" customWidth="1"/>
    <col min="14870" max="14870" width="18.109375" style="3" customWidth="1"/>
    <col min="14871" max="14871" width="14.109375" style="3" customWidth="1"/>
    <col min="14872" max="15098" width="0" style="3" hidden="1"/>
    <col min="15099" max="15099" width="7.5546875" style="3" customWidth="1"/>
    <col min="15100" max="15100" width="36.77734375" style="3" customWidth="1"/>
    <col min="15101" max="15102" width="0" style="3" hidden="1"/>
    <col min="15103" max="15103" width="16.6640625" style="3" customWidth="1"/>
    <col min="15104" max="15104" width="17.33203125" style="3" customWidth="1"/>
    <col min="15105" max="15105" width="15.5546875" style="3" customWidth="1"/>
    <col min="15106" max="15106" width="0" style="3" hidden="1"/>
    <col min="15107" max="15107" width="16.6640625" style="3" customWidth="1"/>
    <col min="15108" max="15108" width="17.44140625" style="3" customWidth="1"/>
    <col min="15109" max="15110" width="0" style="3" hidden="1"/>
    <col min="15111" max="15113" width="15.33203125" style="3" customWidth="1"/>
    <col min="15114" max="15114" width="17" style="3" customWidth="1"/>
    <col min="15115" max="15115" width="0" style="3" hidden="1"/>
    <col min="15116" max="15117" width="15.5546875" style="3" customWidth="1"/>
    <col min="15118" max="15118" width="13.6640625" style="3" customWidth="1"/>
    <col min="15119" max="15119" width="9" style="3" customWidth="1"/>
    <col min="15120" max="15120" width="49.88671875" style="3" customWidth="1"/>
    <col min="15121" max="15121" width="0" style="3" hidden="1"/>
    <col min="15122" max="15123" width="15.88671875" style="3" customWidth="1"/>
    <col min="15124" max="15124" width="14.5546875" style="3" customWidth="1"/>
    <col min="15125" max="15125" width="16.33203125" style="3" customWidth="1"/>
    <col min="15126" max="15126" width="18.109375" style="3" customWidth="1"/>
    <col min="15127" max="15127" width="14.109375" style="3" customWidth="1"/>
    <col min="15128" max="15354" width="0" style="3" hidden="1"/>
    <col min="15355" max="15355" width="7.5546875" style="3" customWidth="1"/>
    <col min="15356" max="15356" width="36.77734375" style="3" customWidth="1"/>
    <col min="15357" max="15358" width="0" style="3" hidden="1"/>
    <col min="15359" max="15359" width="16.6640625" style="3" customWidth="1"/>
    <col min="15360" max="15360" width="17.33203125" style="3" customWidth="1"/>
    <col min="15361" max="15361" width="15.5546875" style="3" customWidth="1"/>
    <col min="15362" max="15362" width="0" style="3" hidden="1"/>
    <col min="15363" max="15363" width="16.6640625" style="3" customWidth="1"/>
    <col min="15364" max="15364" width="17.44140625" style="3" customWidth="1"/>
    <col min="15365" max="15366" width="0" style="3" hidden="1"/>
    <col min="15367" max="15369" width="15.33203125" style="3" customWidth="1"/>
    <col min="15370" max="15370" width="17" style="3" customWidth="1"/>
    <col min="15371" max="15371" width="0" style="3" hidden="1"/>
    <col min="15372" max="15373" width="15.5546875" style="3" customWidth="1"/>
    <col min="15374" max="15374" width="13.6640625" style="3" customWidth="1"/>
    <col min="15375" max="15375" width="9" style="3" customWidth="1"/>
    <col min="15376" max="15376" width="49.88671875" style="3" customWidth="1"/>
    <col min="15377" max="15377" width="0" style="3" hidden="1"/>
    <col min="15378" max="15379" width="15.88671875" style="3" customWidth="1"/>
    <col min="15380" max="15380" width="14.5546875" style="3" customWidth="1"/>
    <col min="15381" max="15381" width="16.33203125" style="3" customWidth="1"/>
    <col min="15382" max="15382" width="18.109375" style="3" customWidth="1"/>
    <col min="15383" max="15383" width="14.109375" style="3" customWidth="1"/>
    <col min="15384" max="15610" width="0" style="3" hidden="1"/>
    <col min="15611" max="15611" width="7.5546875" style="3" customWidth="1"/>
    <col min="15612" max="15612" width="36.77734375" style="3" customWidth="1"/>
    <col min="15613" max="15614" width="0" style="3" hidden="1"/>
    <col min="15615" max="15615" width="16.6640625" style="3" customWidth="1"/>
    <col min="15616" max="15616" width="17.33203125" style="3" customWidth="1"/>
    <col min="15617" max="15617" width="15.5546875" style="3" customWidth="1"/>
    <col min="15618" max="15618" width="0" style="3" hidden="1"/>
    <col min="15619" max="15619" width="16.6640625" style="3" customWidth="1"/>
    <col min="15620" max="15620" width="17.44140625" style="3" customWidth="1"/>
    <col min="15621" max="15622" width="0" style="3" hidden="1"/>
    <col min="15623" max="15625" width="15.33203125" style="3" customWidth="1"/>
    <col min="15626" max="15626" width="17" style="3" customWidth="1"/>
    <col min="15627" max="15627" width="0" style="3" hidden="1"/>
    <col min="15628" max="15629" width="15.5546875" style="3" customWidth="1"/>
    <col min="15630" max="15630" width="13.6640625" style="3" customWidth="1"/>
    <col min="15631" max="15631" width="9" style="3" customWidth="1"/>
    <col min="15632" max="15632" width="49.88671875" style="3" customWidth="1"/>
    <col min="15633" max="15633" width="0" style="3" hidden="1"/>
    <col min="15634" max="15635" width="15.88671875" style="3" customWidth="1"/>
    <col min="15636" max="15636" width="14.5546875" style="3" customWidth="1"/>
    <col min="15637" max="15637" width="16.33203125" style="3" customWidth="1"/>
    <col min="15638" max="15638" width="18.109375" style="3" customWidth="1"/>
    <col min="15639" max="15639" width="14.109375" style="3" customWidth="1"/>
    <col min="15640" max="15866" width="0" style="3" hidden="1"/>
    <col min="15867" max="15867" width="7.5546875" style="3" customWidth="1"/>
    <col min="15868" max="15868" width="36.77734375" style="3" customWidth="1"/>
    <col min="15869" max="15870" width="0" style="3" hidden="1"/>
    <col min="15871" max="15871" width="16.6640625" style="3" customWidth="1"/>
    <col min="15872" max="15872" width="17.33203125" style="3" customWidth="1"/>
    <col min="15873" max="15873" width="15.5546875" style="3" customWidth="1"/>
    <col min="15874" max="15874" width="0" style="3" hidden="1"/>
    <col min="15875" max="15875" width="16.6640625" style="3" customWidth="1"/>
    <col min="15876" max="15876" width="17.44140625" style="3" customWidth="1"/>
    <col min="15877" max="15878" width="0" style="3" hidden="1"/>
    <col min="15879" max="15881" width="15.33203125" style="3" customWidth="1"/>
    <col min="15882" max="15882" width="17" style="3" customWidth="1"/>
    <col min="15883" max="15883" width="0" style="3" hidden="1"/>
    <col min="15884" max="15885" width="15.5546875" style="3" customWidth="1"/>
    <col min="15886" max="15886" width="13.6640625" style="3" customWidth="1"/>
    <col min="15887" max="15887" width="9" style="3" customWidth="1"/>
    <col min="15888" max="15888" width="49.88671875" style="3" customWidth="1"/>
    <col min="15889" max="15889" width="0" style="3" hidden="1"/>
    <col min="15890" max="15891" width="15.88671875" style="3" customWidth="1"/>
    <col min="15892" max="15892" width="14.5546875" style="3" customWidth="1"/>
    <col min="15893" max="15893" width="16.33203125" style="3" customWidth="1"/>
    <col min="15894" max="15894" width="18.109375" style="3" customWidth="1"/>
    <col min="15895" max="15895" width="14.109375" style="3" customWidth="1"/>
    <col min="15896" max="16122" width="0" style="3" hidden="1"/>
    <col min="16123" max="16123" width="7.5546875" style="3" customWidth="1"/>
    <col min="16124" max="16124" width="36.77734375" style="3" customWidth="1"/>
    <col min="16125" max="16126" width="0" style="3" hidden="1"/>
    <col min="16127" max="16127" width="16.6640625" style="3" customWidth="1"/>
    <col min="16128" max="16128" width="17.33203125" style="3" customWidth="1"/>
    <col min="16129" max="16129" width="15.5546875" style="3" customWidth="1"/>
    <col min="16130" max="16130" width="0" style="3" hidden="1"/>
    <col min="16131" max="16131" width="16.6640625" style="3" customWidth="1"/>
    <col min="16132" max="16132" width="17.44140625" style="3" customWidth="1"/>
    <col min="16133" max="16134" width="0" style="3" hidden="1"/>
    <col min="16135" max="16137" width="15.33203125" style="3" customWidth="1"/>
    <col min="16138" max="16138" width="17" style="3" customWidth="1"/>
    <col min="16139" max="16139" width="0" style="3" hidden="1"/>
    <col min="16140" max="16141" width="15.5546875" style="3" customWidth="1"/>
    <col min="16142" max="16142" width="13.6640625" style="3" customWidth="1"/>
    <col min="16143" max="16143" width="9" style="3" customWidth="1"/>
    <col min="16144" max="16144" width="49.88671875" style="3" customWidth="1"/>
    <col min="16145" max="16145" width="0" style="3" hidden="1"/>
    <col min="16146" max="16147" width="15.88671875" style="3" customWidth="1"/>
    <col min="16148" max="16148" width="14.5546875" style="3" customWidth="1"/>
    <col min="16149" max="16149" width="16.33203125" style="3" customWidth="1"/>
    <col min="16150" max="16150" width="18.109375" style="3" customWidth="1"/>
    <col min="16151" max="16151" width="14.109375" style="3" customWidth="1"/>
    <col min="16152" max="16384" width="0" style="3" hidden="1"/>
  </cols>
  <sheetData>
    <row r="1" spans="1:252" ht="24.75" customHeight="1">
      <c r="A1" s="103" t="s">
        <v>62</v>
      </c>
      <c r="B1" s="1"/>
      <c r="C1" s="1"/>
      <c r="D1" s="1"/>
      <c r="E1" s="1"/>
      <c r="F1" s="38"/>
      <c r="G1" s="42"/>
      <c r="H1" s="42"/>
      <c r="I1" s="38"/>
      <c r="J1" s="38"/>
      <c r="K1" s="38"/>
      <c r="L1" s="1"/>
      <c r="M1" s="1"/>
      <c r="N1" s="1"/>
      <c r="O1" s="1"/>
      <c r="P1" s="1"/>
      <c r="Q1" s="38"/>
      <c r="R1" s="38"/>
      <c r="S1" s="1"/>
      <c r="T1" s="2"/>
      <c r="U1" s="1"/>
      <c r="V1" s="2"/>
      <c r="W1" s="3"/>
    </row>
    <row r="2" spans="1:252" ht="24.75" customHeight="1">
      <c r="A2" s="104" t="s">
        <v>114</v>
      </c>
      <c r="B2" s="5"/>
      <c r="C2" s="5"/>
      <c r="D2" s="5"/>
      <c r="E2" s="5"/>
      <c r="F2" s="39"/>
      <c r="G2" s="43"/>
      <c r="H2" s="43"/>
      <c r="I2" s="39"/>
      <c r="J2" s="39"/>
      <c r="K2" s="39"/>
      <c r="L2" s="5"/>
      <c r="M2" s="5"/>
      <c r="N2" s="5"/>
      <c r="O2" s="5"/>
      <c r="P2" s="5"/>
      <c r="Q2" s="39"/>
      <c r="R2" s="39"/>
      <c r="S2" s="5"/>
      <c r="T2" s="6"/>
      <c r="U2" s="5"/>
      <c r="V2" s="6"/>
      <c r="W2" s="3"/>
    </row>
    <row r="3" spans="1:252" ht="26.25" customHeight="1">
      <c r="A3" s="7" t="s">
        <v>92</v>
      </c>
      <c r="B3" s="7"/>
      <c r="C3" s="8"/>
      <c r="D3" s="8"/>
      <c r="E3" s="8"/>
      <c r="F3" s="10"/>
      <c r="G3" s="23"/>
      <c r="H3" s="23"/>
      <c r="I3" s="10"/>
      <c r="J3" s="10"/>
      <c r="K3" s="10"/>
      <c r="L3" s="9"/>
      <c r="M3" s="9"/>
      <c r="N3" s="9"/>
      <c r="O3" s="9"/>
      <c r="P3" s="9"/>
      <c r="Q3" s="10"/>
      <c r="R3" s="10"/>
      <c r="S3" s="13"/>
      <c r="U3" s="13"/>
      <c r="V3" s="12"/>
      <c r="W3" s="3"/>
    </row>
    <row r="4" spans="1:252" ht="22.2" customHeight="1" thickBot="1">
      <c r="A4" s="14"/>
      <c r="B4" s="14"/>
      <c r="C4" s="8"/>
      <c r="D4" s="8"/>
      <c r="E4" s="8"/>
      <c r="F4" s="10"/>
      <c r="G4" s="23"/>
      <c r="H4" s="23"/>
      <c r="I4" s="10"/>
      <c r="J4" s="10"/>
      <c r="K4" s="10"/>
      <c r="L4" s="93">
        <v>0.05</v>
      </c>
      <c r="M4" s="93">
        <v>0.25</v>
      </c>
      <c r="N4" s="154"/>
      <c r="O4" s="154"/>
      <c r="P4" s="154"/>
      <c r="Q4" s="155">
        <v>0.25</v>
      </c>
      <c r="R4" s="10"/>
      <c r="S4" s="13"/>
      <c r="U4" s="13"/>
      <c r="V4" s="12"/>
      <c r="W4" s="3"/>
    </row>
    <row r="5" spans="1:252" s="16" customFormat="1" ht="60.6" thickBot="1">
      <c r="A5" s="248" t="s">
        <v>0</v>
      </c>
      <c r="B5" s="249" t="s">
        <v>39</v>
      </c>
      <c r="C5" s="161" t="s">
        <v>1</v>
      </c>
      <c r="D5" s="161" t="s">
        <v>6</v>
      </c>
      <c r="E5" s="292" t="s">
        <v>44</v>
      </c>
      <c r="F5" s="250" t="s">
        <v>31</v>
      </c>
      <c r="G5" s="251" t="s">
        <v>36</v>
      </c>
      <c r="H5" s="220" t="s">
        <v>95</v>
      </c>
      <c r="I5" s="252" t="s">
        <v>37</v>
      </c>
      <c r="J5" s="162" t="s">
        <v>40</v>
      </c>
      <c r="K5" s="162" t="s">
        <v>102</v>
      </c>
      <c r="L5" s="163" t="s">
        <v>103</v>
      </c>
      <c r="M5" s="163" t="s">
        <v>104</v>
      </c>
      <c r="N5" s="162" t="s">
        <v>105</v>
      </c>
      <c r="O5" s="218" t="s">
        <v>99</v>
      </c>
      <c r="P5" s="218" t="s">
        <v>100</v>
      </c>
      <c r="Q5" s="218" t="s">
        <v>101</v>
      </c>
      <c r="R5" s="164" t="s">
        <v>106</v>
      </c>
      <c r="S5" s="107" t="s">
        <v>38</v>
      </c>
      <c r="T5" s="293" t="s">
        <v>42</v>
      </c>
      <c r="U5" s="294" t="s">
        <v>7</v>
      </c>
      <c r="V5" s="15"/>
    </row>
    <row r="6" spans="1:252" s="122" customFormat="1" ht="23.4" customHeight="1">
      <c r="A6" s="261">
        <v>1</v>
      </c>
      <c r="B6" s="262" t="s">
        <v>108</v>
      </c>
      <c r="C6" s="263" t="s">
        <v>109</v>
      </c>
      <c r="D6" s="264" t="s">
        <v>70</v>
      </c>
      <c r="E6" s="264" t="s">
        <v>50</v>
      </c>
      <c r="F6" s="265">
        <v>4542.0600000000004</v>
      </c>
      <c r="G6" s="266">
        <v>243892</v>
      </c>
      <c r="H6" s="267"/>
      <c r="I6" s="268">
        <f>Table13514520105[[#This Row],[ค่าบริการรายเดือนตาม Package]]+Table13514520105[[#This Row],[รายการเบิก
คอมขายเพิ่มเติม
(เป้าตามกำหนด)
100-200%]]</f>
        <v>4542.0600000000004</v>
      </c>
      <c r="J6" s="267"/>
      <c r="K6" s="267"/>
      <c r="L6" s="269">
        <f>IF(Table13514520105[[#This Row],[ค่าขายอุปกรณ์]]&gt;Table13514520105[[#This Row],[ต้นทุนค่าขายอุปกรณ์]],Table13514520105[[#This Row],[ต้นทุนค่าขายอุปกรณ์]]*$L$4,Table13514520105[[#This Row],[ค่าขายอุปกรณ์]]*$L$4)</f>
        <v>0</v>
      </c>
      <c r="M6" s="269">
        <f>IF(Table13514520105[[#This Row],[ค่าขายอุปกรณ์]]&gt;Table13514520105[[#This Row],[ต้นทุนค่าขายอุปกรณ์]],SUM(Table13514520105[[#This Row],[ค่าขายอุปกรณ์]]-Table13514520105[[#This Row],[ต้นทุนค่าขายอุปกรณ์]])*$M$4,0)</f>
        <v>0</v>
      </c>
      <c r="N6" s="270">
        <f>Table13514520105[[#This Row],[คอมฯอุปกรณ์
 5%]]+Table13514520105[[#This Row],[คอมฯ อุปกรณ์
25%]]</f>
        <v>0</v>
      </c>
      <c r="O6" s="271"/>
      <c r="P6" s="271"/>
      <c r="Q6" s="272">
        <f>IF(Table13514520105[[#This Row],[ค่าติดตั้ง/ค่าเชื่อมสัญญาณ]]&gt;Table13514520105[[#This Row],[ต้นทุนค่าติดตั้ง/ค่าเชื่อมสัญญาณ]],SUM(Table13514520105[[#This Row],[ค่าติดตั้ง/ค่าเชื่อมสัญญาณ]]-Table13514520105[[#This Row],[ต้นทุนค่าติดตั้ง/ค่าเชื่อมสัญญาณ]])*$Q$4,0)</f>
        <v>0</v>
      </c>
      <c r="R6" s="273">
        <f>Table13514520105[[#This Row],[รายการเบิก
คอมขาย]]+Table13514520105[[#This Row],[Total
คอมฯ อุปกรณ์]]+Table13514520105[[#This Row],[Total 
คอมฯค่าติดตั้ง/ค่าเชื่อมสัญญาณ]]</f>
        <v>4542.0600000000004</v>
      </c>
      <c r="S6" s="274" t="s">
        <v>111</v>
      </c>
      <c r="T6" s="275" t="s">
        <v>113</v>
      </c>
      <c r="U6" s="276" t="s">
        <v>112</v>
      </c>
      <c r="V6" s="3"/>
      <c r="W6" s="326" t="s">
        <v>116</v>
      </c>
      <c r="X6" s="326"/>
      <c r="Y6" s="326"/>
      <c r="Z6" s="326"/>
      <c r="AA6" s="326"/>
      <c r="AB6" s="326"/>
      <c r="AC6" s="326"/>
      <c r="AD6" s="326"/>
      <c r="AE6" s="326"/>
      <c r="AF6" s="326"/>
      <c r="AG6" s="326"/>
      <c r="AH6" s="326"/>
      <c r="AI6" s="326"/>
      <c r="AJ6" s="326"/>
      <c r="AK6" s="326"/>
      <c r="AL6" s="326"/>
      <c r="AM6" s="326"/>
      <c r="AN6" s="326"/>
      <c r="AO6" s="326"/>
      <c r="AP6" s="326"/>
      <c r="AQ6" s="326"/>
      <c r="AR6" s="326"/>
      <c r="AS6" s="326"/>
      <c r="AT6" s="326"/>
      <c r="AU6" s="326"/>
      <c r="AV6" s="326"/>
      <c r="AW6" s="326"/>
      <c r="AX6" s="326"/>
      <c r="AY6" s="326"/>
      <c r="AZ6" s="326"/>
      <c r="BA6" s="326"/>
      <c r="BB6" s="326"/>
      <c r="BC6" s="326"/>
      <c r="BD6" s="326"/>
      <c r="BE6" s="326"/>
      <c r="BF6" s="326"/>
      <c r="BG6" s="326"/>
      <c r="BH6" s="326"/>
      <c r="BI6" s="326"/>
      <c r="BJ6" s="326"/>
      <c r="BK6" s="326"/>
      <c r="BL6" s="326"/>
      <c r="BM6" s="326"/>
      <c r="BN6" s="326"/>
      <c r="BO6" s="326"/>
      <c r="BP6" s="326"/>
      <c r="BQ6" s="326"/>
      <c r="BR6" s="326"/>
      <c r="BS6" s="326"/>
      <c r="BT6" s="326"/>
      <c r="BU6" s="326"/>
      <c r="BV6" s="326"/>
      <c r="BW6" s="326"/>
      <c r="BX6" s="326"/>
      <c r="BY6" s="326"/>
      <c r="BZ6" s="326"/>
      <c r="CA6" s="326"/>
      <c r="CB6" s="326"/>
      <c r="CC6" s="326"/>
      <c r="CD6" s="326"/>
      <c r="CE6" s="326"/>
      <c r="CF6" s="326"/>
      <c r="CG6" s="326"/>
      <c r="CH6" s="326"/>
      <c r="CI6" s="326"/>
      <c r="CJ6" s="326"/>
      <c r="CK6" s="326"/>
      <c r="CL6" s="326"/>
      <c r="CM6" s="326"/>
      <c r="CN6" s="326"/>
      <c r="CO6" s="326"/>
      <c r="CP6" s="326"/>
      <c r="CQ6" s="326"/>
      <c r="CR6" s="326"/>
      <c r="CS6" s="326"/>
      <c r="CT6" s="326"/>
      <c r="CU6" s="326"/>
      <c r="CV6" s="326"/>
      <c r="CW6" s="326"/>
      <c r="CX6" s="326"/>
      <c r="CY6" s="326"/>
      <c r="CZ6" s="326"/>
      <c r="DA6" s="326"/>
      <c r="DB6" s="326"/>
      <c r="DC6" s="326"/>
      <c r="DD6" s="326"/>
      <c r="DE6" s="326"/>
      <c r="DF6" s="326"/>
      <c r="DG6" s="326"/>
      <c r="DH6" s="326"/>
      <c r="DI6" s="326"/>
      <c r="DJ6" s="326"/>
      <c r="DK6" s="326"/>
      <c r="DL6" s="326"/>
      <c r="DM6" s="326"/>
      <c r="DN6" s="326"/>
      <c r="DO6" s="326"/>
      <c r="DP6" s="326"/>
      <c r="DQ6" s="326"/>
      <c r="DR6" s="326"/>
      <c r="DS6" s="326"/>
      <c r="DT6" s="326"/>
      <c r="DU6" s="326"/>
      <c r="DV6" s="326"/>
      <c r="DW6" s="326"/>
      <c r="DX6" s="326"/>
      <c r="DY6" s="326"/>
      <c r="DZ6" s="326"/>
      <c r="EA6" s="326"/>
      <c r="EB6" s="326"/>
      <c r="EC6" s="326"/>
      <c r="ED6" s="326"/>
      <c r="EE6" s="326"/>
      <c r="EF6" s="326"/>
      <c r="EG6" s="326"/>
      <c r="EH6" s="326"/>
      <c r="EI6" s="326"/>
      <c r="EJ6" s="326"/>
      <c r="EK6" s="326"/>
      <c r="EL6" s="326"/>
      <c r="EM6" s="326"/>
      <c r="EN6" s="326"/>
      <c r="EO6" s="326"/>
      <c r="EP6" s="326"/>
      <c r="EQ6" s="326"/>
      <c r="ER6" s="326"/>
      <c r="ES6" s="326"/>
      <c r="ET6" s="326"/>
      <c r="EU6" s="326"/>
      <c r="EV6" s="326"/>
      <c r="EW6" s="326"/>
      <c r="EX6" s="326"/>
      <c r="EY6" s="326"/>
      <c r="EZ6" s="326"/>
      <c r="FA6" s="326"/>
      <c r="FB6" s="326"/>
      <c r="FC6" s="326"/>
      <c r="FD6" s="326"/>
      <c r="FE6" s="326"/>
      <c r="FF6" s="326"/>
      <c r="FG6" s="326"/>
      <c r="FH6" s="326"/>
      <c r="FI6" s="326"/>
      <c r="FJ6" s="326"/>
      <c r="FK6" s="326"/>
      <c r="FL6" s="326"/>
      <c r="FM6" s="326"/>
      <c r="FN6" s="326"/>
      <c r="FO6" s="326"/>
      <c r="FP6" s="326"/>
      <c r="FQ6" s="326"/>
      <c r="FR6" s="326"/>
      <c r="FS6" s="326"/>
      <c r="FT6" s="326"/>
      <c r="FU6" s="326"/>
      <c r="FV6" s="326"/>
      <c r="FW6" s="326"/>
      <c r="FX6" s="326"/>
      <c r="FY6" s="326"/>
      <c r="FZ6" s="326"/>
      <c r="GA6" s="326"/>
      <c r="GB6" s="326"/>
      <c r="GC6" s="326"/>
      <c r="GD6" s="326"/>
      <c r="GE6" s="326"/>
      <c r="GF6" s="326"/>
      <c r="GG6" s="326"/>
      <c r="GH6" s="326"/>
      <c r="GI6" s="326"/>
      <c r="GJ6" s="326"/>
      <c r="GK6" s="326"/>
      <c r="GL6" s="326"/>
      <c r="GM6" s="326"/>
      <c r="GN6" s="326"/>
      <c r="GO6" s="326"/>
      <c r="GP6" s="326"/>
      <c r="GQ6" s="326"/>
      <c r="GR6" s="326"/>
      <c r="GS6" s="326"/>
      <c r="GT6" s="326"/>
      <c r="GU6" s="326"/>
      <c r="GV6" s="326"/>
      <c r="GW6" s="326"/>
      <c r="GX6" s="326"/>
      <c r="GY6" s="326"/>
      <c r="GZ6" s="326"/>
      <c r="HA6" s="326"/>
      <c r="HB6" s="326"/>
      <c r="HC6" s="326"/>
      <c r="HD6" s="326"/>
      <c r="HE6" s="326"/>
      <c r="HF6" s="326"/>
      <c r="HG6" s="326"/>
      <c r="HH6" s="326"/>
      <c r="HI6" s="326"/>
      <c r="HJ6" s="326"/>
      <c r="HK6" s="326"/>
      <c r="HL6" s="326"/>
      <c r="HM6" s="326"/>
      <c r="HN6" s="326"/>
      <c r="HO6" s="326"/>
      <c r="HP6" s="326"/>
      <c r="HQ6" s="326"/>
      <c r="HR6" s="326"/>
      <c r="HS6" s="326"/>
      <c r="HT6" s="326"/>
      <c r="HU6" s="326"/>
      <c r="HV6" s="326"/>
      <c r="HW6" s="326"/>
      <c r="HX6" s="326"/>
      <c r="HY6" s="326"/>
      <c r="HZ6" s="326"/>
      <c r="IA6" s="326"/>
      <c r="IB6" s="326"/>
      <c r="IC6" s="326"/>
      <c r="ID6" s="326"/>
      <c r="IE6" s="326"/>
      <c r="IF6" s="326"/>
      <c r="IG6" s="326"/>
      <c r="IH6" s="326"/>
      <c r="II6" s="326"/>
      <c r="IJ6" s="326"/>
      <c r="IK6" s="326"/>
      <c r="IL6" s="326"/>
      <c r="IM6" s="326"/>
      <c r="IN6" s="326"/>
      <c r="IO6" s="326"/>
      <c r="IP6" s="326"/>
      <c r="IQ6" s="326"/>
      <c r="IR6" s="326"/>
    </row>
    <row r="7" spans="1:252" s="122" customFormat="1" ht="23.4" customHeight="1">
      <c r="A7" s="123">
        <v>1.1000000000000001</v>
      </c>
      <c r="B7" s="124"/>
      <c r="C7" s="17" t="s">
        <v>110</v>
      </c>
      <c r="D7" s="28"/>
      <c r="E7" s="28"/>
      <c r="F7" s="34"/>
      <c r="G7" s="36"/>
      <c r="H7" s="118"/>
      <c r="I7" s="40"/>
      <c r="J7" s="114"/>
      <c r="K7" s="115"/>
      <c r="L7" s="125"/>
      <c r="M7" s="126"/>
      <c r="N7" s="126"/>
      <c r="O7" s="126"/>
      <c r="P7" s="126"/>
      <c r="Q7" s="40"/>
      <c r="R7" s="238"/>
      <c r="S7" s="98"/>
      <c r="T7" s="148"/>
      <c r="U7" s="143"/>
      <c r="V7" s="3"/>
    </row>
    <row r="8" spans="1:252" s="122" customFormat="1" ht="23.4" customHeight="1" thickBot="1">
      <c r="A8" s="295">
        <v>1.2</v>
      </c>
      <c r="B8" s="296"/>
      <c r="C8" s="297"/>
      <c r="D8" s="282"/>
      <c r="E8" s="282"/>
      <c r="F8" s="283"/>
      <c r="G8" s="284"/>
      <c r="H8" s="298"/>
      <c r="I8" s="285"/>
      <c r="J8" s="283"/>
      <c r="K8" s="283"/>
      <c r="L8" s="286"/>
      <c r="M8" s="286"/>
      <c r="N8" s="286"/>
      <c r="O8" s="286"/>
      <c r="P8" s="286"/>
      <c r="Q8" s="285"/>
      <c r="R8" s="299"/>
      <c r="S8" s="288"/>
      <c r="T8" s="300"/>
      <c r="U8" s="301"/>
      <c r="V8" s="101"/>
    </row>
    <row r="9" spans="1:252" s="122" customFormat="1" ht="23.4" customHeight="1">
      <c r="A9" s="261">
        <v>2</v>
      </c>
      <c r="B9" s="262" t="s">
        <v>117</v>
      </c>
      <c r="C9" s="263" t="s">
        <v>118</v>
      </c>
      <c r="D9" s="264" t="s">
        <v>72</v>
      </c>
      <c r="E9" s="264" t="s">
        <v>50</v>
      </c>
      <c r="F9" s="265">
        <v>4000</v>
      </c>
      <c r="G9" s="266">
        <v>243923</v>
      </c>
      <c r="H9" s="267"/>
      <c r="I9" s="268">
        <f>Table13514520105[[#This Row],[ค่าบริการรายเดือนตาม Package]]+Table13514520105[[#This Row],[รายการเบิก
คอมขายเพิ่มเติม
(เป้าตามกำหนด)
100-200%]]</f>
        <v>4000</v>
      </c>
      <c r="J9" s="267"/>
      <c r="K9" s="267"/>
      <c r="L9" s="269">
        <f>IF(Table13514520105[[#This Row],[ค่าขายอุปกรณ์]]&gt;Table13514520105[[#This Row],[ต้นทุนค่าขายอุปกรณ์]],Table13514520105[[#This Row],[ต้นทุนค่าขายอุปกรณ์]]*$L$4,Table13514520105[[#This Row],[ค่าขายอุปกรณ์]]*$L$4)</f>
        <v>0</v>
      </c>
      <c r="M9" s="269">
        <f>IF(Table13514520105[[#This Row],[ค่าขายอุปกรณ์]]&gt;Table13514520105[[#This Row],[ต้นทุนค่าขายอุปกรณ์]],SUM(Table13514520105[[#This Row],[ค่าขายอุปกรณ์]]-Table13514520105[[#This Row],[ต้นทุนค่าขายอุปกรณ์]])*$M$4,0)</f>
        <v>0</v>
      </c>
      <c r="N9" s="270">
        <f>Table13514520105[[#This Row],[คอมฯอุปกรณ์
 5%]]+Table13514520105[[#This Row],[คอมฯ อุปกรณ์
25%]]</f>
        <v>0</v>
      </c>
      <c r="O9" s="271"/>
      <c r="P9" s="271"/>
      <c r="Q9" s="272">
        <f>IF(Table13514520105[[#This Row],[ค่าติดตั้ง/ค่าเชื่อมสัญญาณ]]&gt;Table13514520105[[#This Row],[ต้นทุนค่าติดตั้ง/ค่าเชื่อมสัญญาณ]],SUM(Table13514520105[[#This Row],[ค่าติดตั้ง/ค่าเชื่อมสัญญาณ]]-Table13514520105[[#This Row],[ต้นทุนค่าติดตั้ง/ค่าเชื่อมสัญญาณ]])*$Q$4,0)</f>
        <v>0</v>
      </c>
      <c r="R9" s="273">
        <f>Table13514520105[[#This Row],[รายการเบิก
คอมขาย]]+Table13514520105[[#This Row],[Total
คอมฯ อุปกรณ์]]+Table13514520105[[#This Row],[Total 
คอมฯค่าติดตั้ง/ค่าเชื่อมสัญญาณ]]</f>
        <v>4000</v>
      </c>
      <c r="S9" s="274" t="s">
        <v>120</v>
      </c>
      <c r="T9" s="275" t="s">
        <v>132</v>
      </c>
      <c r="U9" s="276" t="s">
        <v>107</v>
      </c>
      <c r="V9" s="277"/>
    </row>
    <row r="10" spans="1:252" s="122" customFormat="1" ht="23.4" customHeight="1">
      <c r="A10" s="123"/>
      <c r="B10" s="124"/>
      <c r="C10" s="17" t="s">
        <v>119</v>
      </c>
      <c r="D10" s="28"/>
      <c r="E10" s="28"/>
      <c r="F10" s="34"/>
      <c r="G10" s="36"/>
      <c r="H10" s="118"/>
      <c r="I10" s="40"/>
      <c r="J10" s="114"/>
      <c r="K10" s="115"/>
      <c r="L10" s="125"/>
      <c r="M10" s="126"/>
      <c r="N10" s="126"/>
      <c r="O10" s="126"/>
      <c r="P10" s="126"/>
      <c r="Q10" s="40"/>
      <c r="R10" s="238"/>
      <c r="S10" s="98"/>
      <c r="T10" s="148"/>
      <c r="U10" s="143"/>
      <c r="V10" s="278"/>
    </row>
    <row r="11" spans="1:252" s="258" customFormat="1" ht="23.4" customHeight="1" thickBot="1">
      <c r="A11" s="279"/>
      <c r="B11" s="280"/>
      <c r="C11" s="281"/>
      <c r="D11" s="282"/>
      <c r="E11" s="282"/>
      <c r="F11" s="283"/>
      <c r="G11" s="284"/>
      <c r="H11" s="284"/>
      <c r="I11" s="285"/>
      <c r="J11" s="283"/>
      <c r="K11" s="283"/>
      <c r="L11" s="286"/>
      <c r="M11" s="286"/>
      <c r="N11" s="286"/>
      <c r="O11" s="286"/>
      <c r="P11" s="286"/>
      <c r="Q11" s="285"/>
      <c r="R11" s="287"/>
      <c r="S11" s="288"/>
      <c r="T11" s="289"/>
      <c r="U11" s="290"/>
      <c r="V11" s="291"/>
    </row>
    <row r="12" spans="1:252" s="258" customFormat="1" ht="23.4" customHeight="1">
      <c r="A12" s="255">
        <v>3</v>
      </c>
      <c r="B12" s="256" t="s">
        <v>121</v>
      </c>
      <c r="C12" s="259" t="s">
        <v>122</v>
      </c>
      <c r="D12" s="264" t="s">
        <v>67</v>
      </c>
      <c r="E12" s="264" t="s">
        <v>50</v>
      </c>
      <c r="F12" s="35">
        <v>3500</v>
      </c>
      <c r="G12" s="327">
        <v>243923</v>
      </c>
      <c r="H12" s="37"/>
      <c r="I12" s="268">
        <f>Table13514520105[[#This Row],[ค่าบริการรายเดือนตาม Package]]+Table13514520105[[#This Row],[รายการเบิก
คอมขายเพิ่มเติม
(เป้าตามกำหนด)
100-200%]]</f>
        <v>3500</v>
      </c>
      <c r="J12" s="35"/>
      <c r="K12" s="35"/>
      <c r="L12" s="253"/>
      <c r="M12" s="269">
        <f>IF(Table13514520105[[#This Row],[ค่าขายอุปกรณ์]]&gt;Table13514520105[[#This Row],[ต้นทุนค่าขายอุปกรณ์]],SUM(Table13514520105[[#This Row],[ค่าขายอุปกรณ์]]-Table13514520105[[#This Row],[ต้นทุนค่าขายอุปกรณ์]])*$M$4,0)</f>
        <v>0</v>
      </c>
      <c r="N12" s="270">
        <f>Table13514520105[[#This Row],[คอมฯอุปกรณ์
 5%]]+Table13514520105[[#This Row],[คอมฯ อุปกรณ์
25%]]</f>
        <v>0</v>
      </c>
      <c r="O12" s="126"/>
      <c r="P12" s="126"/>
      <c r="Q12" s="272">
        <f>IF(Table13514520105[[#This Row],[ค่าติดตั้ง/ค่าเชื่อมสัญญาณ]]&gt;Table13514520105[[#This Row],[ต้นทุนค่าติดตั้ง/ค่าเชื่อมสัญญาณ]],SUM(Table13514520105[[#This Row],[ค่าติดตั้ง/ค่าเชื่อมสัญญาณ]]-Table13514520105[[#This Row],[ต้นทุนค่าติดตั้ง/ค่าเชื่อมสัญญาณ]])*$Q$4,0)</f>
        <v>0</v>
      </c>
      <c r="R12" s="273">
        <f>Table13514520105[[#This Row],[รายการเบิก
คอมขาย]]+Table13514520105[[#This Row],[Total
คอมฯ อุปกรณ์]]+Table13514520105[[#This Row],[Total 
คอมฯค่าติดตั้ง/ค่าเชื่อมสัญญาณ]]</f>
        <v>3500</v>
      </c>
      <c r="S12" s="100" t="s">
        <v>124</v>
      </c>
      <c r="T12" s="275" t="s">
        <v>132</v>
      </c>
      <c r="U12" s="145" t="s">
        <v>107</v>
      </c>
      <c r="V12" s="131"/>
    </row>
    <row r="13" spans="1:252" s="258" customFormat="1" ht="23.4" customHeight="1">
      <c r="A13" s="255"/>
      <c r="B13" s="256"/>
      <c r="C13" s="259" t="s">
        <v>123</v>
      </c>
      <c r="D13" s="29"/>
      <c r="E13" s="260"/>
      <c r="F13" s="35"/>
      <c r="G13" s="37"/>
      <c r="H13" s="37"/>
      <c r="I13" s="41"/>
      <c r="J13" s="35"/>
      <c r="K13" s="35"/>
      <c r="L13" s="253"/>
      <c r="M13" s="126"/>
      <c r="N13" s="126"/>
      <c r="O13" s="126"/>
      <c r="P13" s="126"/>
      <c r="Q13" s="254"/>
      <c r="R13" s="257"/>
      <c r="S13" s="100"/>
      <c r="T13" s="151"/>
      <c r="U13" s="145"/>
      <c r="V13" s="131"/>
    </row>
    <row r="14" spans="1:252" s="258" customFormat="1" ht="23.4" customHeight="1" thickBot="1">
      <c r="A14" s="255"/>
      <c r="B14" s="256"/>
      <c r="C14" s="259"/>
      <c r="D14" s="29"/>
      <c r="E14" s="260"/>
      <c r="F14" s="35"/>
      <c r="G14" s="37"/>
      <c r="H14" s="37"/>
      <c r="I14" s="41"/>
      <c r="J14" s="35"/>
      <c r="K14" s="35"/>
      <c r="L14" s="253"/>
      <c r="M14" s="126"/>
      <c r="N14" s="126"/>
      <c r="O14" s="126"/>
      <c r="P14" s="126"/>
      <c r="Q14" s="254"/>
      <c r="R14" s="257"/>
      <c r="S14" s="100"/>
      <c r="T14" s="151"/>
      <c r="U14" s="145"/>
      <c r="V14" s="131"/>
    </row>
    <row r="15" spans="1:252" s="122" customFormat="1" ht="23.4" customHeight="1">
      <c r="A15" s="315">
        <v>4</v>
      </c>
      <c r="B15" s="316" t="s">
        <v>125</v>
      </c>
      <c r="C15" s="317" t="s">
        <v>127</v>
      </c>
      <c r="D15" s="264" t="s">
        <v>68</v>
      </c>
      <c r="E15" s="264" t="s">
        <v>50</v>
      </c>
      <c r="F15" s="267">
        <v>6500</v>
      </c>
      <c r="G15" s="266">
        <v>243923</v>
      </c>
      <c r="H15" s="267"/>
      <c r="I15" s="268">
        <f>Table13514520105[[#This Row],[ค่าบริการรายเดือนตาม Package]]+Table13514520105[[#This Row],[รายการเบิก
คอมขายเพิ่มเติม
(เป้าตามกำหนด)
100-200%]]</f>
        <v>6500</v>
      </c>
      <c r="J15" s="267"/>
      <c r="K15" s="267"/>
      <c r="L15" s="269">
        <f>IF(Table13514520105[[#This Row],[ค่าขายอุปกรณ์]]&gt;Table13514520105[[#This Row],[ต้นทุนค่าขายอุปกรณ์]],Table13514520105[[#This Row],[ต้นทุนค่าขายอุปกรณ์]]*$L$4,Table13514520105[[#This Row],[ค่าขายอุปกรณ์]]*$L$4)</f>
        <v>0</v>
      </c>
      <c r="M15" s="269">
        <f>IF(Table13514520105[[#This Row],[ค่าขายอุปกรณ์]]&gt;Table13514520105[[#This Row],[ต้นทุนค่าขายอุปกรณ์]],SUM(Table13514520105[[#This Row],[ค่าขายอุปกรณ์]]-Table13514520105[[#This Row],[ต้นทุนค่าขายอุปกรณ์]])*$M$4,0)</f>
        <v>0</v>
      </c>
      <c r="N15" s="270">
        <f>Table13514520105[[#This Row],[คอมฯอุปกรณ์
 5%]]+Table13514520105[[#This Row],[คอมฯ อุปกรณ์
25%]]</f>
        <v>0</v>
      </c>
      <c r="O15" s="269"/>
      <c r="P15" s="269"/>
      <c r="Q15" s="272">
        <f>IF(Table13514520105[[#This Row],[ค่าติดตั้ง/ค่าเชื่อมสัญญาณ]]&gt;Table13514520105[[#This Row],[ต้นทุนค่าติดตั้ง/ค่าเชื่อมสัญญาณ]],SUM(Table13514520105[[#This Row],[ค่าติดตั้ง/ค่าเชื่อมสัญญาณ]]-Table13514520105[[#This Row],[ต้นทุนค่าติดตั้ง/ค่าเชื่อมสัญญาณ]])*$Q$4,0)</f>
        <v>0</v>
      </c>
      <c r="R15" s="273">
        <f>Table13514520105[[#This Row],[รายการเบิก
คอมขาย]]+Table13514520105[[#This Row],[Total
คอมฯ อุปกรณ์]]+Table13514520105[[#This Row],[Total 
คอมฯค่าติดตั้ง/ค่าเชื่อมสัญญาณ]]</f>
        <v>6500</v>
      </c>
      <c r="S15" s="274" t="s">
        <v>128</v>
      </c>
      <c r="T15" s="275" t="s">
        <v>133</v>
      </c>
      <c r="U15" s="318" t="s">
        <v>129</v>
      </c>
      <c r="V15" s="3"/>
    </row>
    <row r="16" spans="1:252" s="122" customFormat="1" ht="23.4" customHeight="1">
      <c r="A16" s="123">
        <v>3.1</v>
      </c>
      <c r="B16" s="130"/>
      <c r="C16" s="202" t="s">
        <v>126</v>
      </c>
      <c r="D16" s="117"/>
      <c r="E16" s="116"/>
      <c r="F16" s="117"/>
      <c r="G16" s="118"/>
      <c r="H16" s="118"/>
      <c r="I16" s="40"/>
      <c r="J16" s="97"/>
      <c r="K16" s="102"/>
      <c r="L16" s="132"/>
      <c r="M16" s="133"/>
      <c r="N16" s="126"/>
      <c r="O16" s="133"/>
      <c r="P16" s="133"/>
      <c r="Q16" s="40"/>
      <c r="R16" s="238"/>
      <c r="S16" s="98"/>
      <c r="T16" s="150"/>
      <c r="U16" s="319"/>
      <c r="V16" s="99"/>
    </row>
    <row r="17" spans="1:23" s="122" customFormat="1" ht="23.4" customHeight="1" thickBot="1">
      <c r="A17" s="295">
        <v>3.2</v>
      </c>
      <c r="B17" s="296"/>
      <c r="C17" s="320"/>
      <c r="D17" s="321"/>
      <c r="E17" s="322"/>
      <c r="F17" s="283"/>
      <c r="G17" s="284"/>
      <c r="H17" s="298"/>
      <c r="I17" s="285"/>
      <c r="J17" s="323"/>
      <c r="K17" s="323"/>
      <c r="L17" s="324"/>
      <c r="M17" s="324"/>
      <c r="N17" s="286"/>
      <c r="O17" s="324"/>
      <c r="P17" s="324"/>
      <c r="Q17" s="285"/>
      <c r="R17" s="299"/>
      <c r="S17" s="288"/>
      <c r="T17" s="289"/>
      <c r="U17" s="325"/>
      <c r="V17" s="131"/>
    </row>
    <row r="18" spans="1:23" s="122" customFormat="1" ht="23.4" hidden="1" customHeight="1">
      <c r="A18" s="302">
        <v>5</v>
      </c>
      <c r="B18" s="303"/>
      <c r="C18" s="304"/>
      <c r="D18" s="116"/>
      <c r="E18" s="116"/>
      <c r="F18" s="305"/>
      <c r="G18" s="306"/>
      <c r="H18" s="305"/>
      <c r="I18" s="307">
        <f>Table13514520105[[#This Row],[ค่าบริการรายเดือนตาม Package]]+Table13514520105[[#This Row],[รายการเบิก
คอมขายเพิ่มเติม
(เป้าตามกำหนด)
100-200%]]</f>
        <v>0</v>
      </c>
      <c r="J18" s="305"/>
      <c r="K18" s="308"/>
      <c r="L18" s="309">
        <f>IF(Table13514520105[[#This Row],[ค่าขายอุปกรณ์]]&gt;Table13514520105[[#This Row],[ต้นทุนค่าขายอุปกรณ์]],Table13514520105[[#This Row],[ต้นทุนค่าขายอุปกรณ์]]*$L$4,Table13514520105[[#This Row],[ค่าขายอุปกรณ์]]*$L$4)</f>
        <v>0</v>
      </c>
      <c r="M18" s="309">
        <f>IF(Table13514520105[[#This Row],[ค่าขายอุปกรณ์]]&gt;Table13514520105[[#This Row],[ต้นทุนค่าขายอุปกรณ์]],SUM(Table13514520105[[#This Row],[ค่าขายอุปกรณ์]]-Table13514520105[[#This Row],[ต้นทุนค่าขายอุปกรณ์]])*$M$4,0)</f>
        <v>0</v>
      </c>
      <c r="N18" s="310">
        <f>Table13514520105[[#This Row],[คอมฯอุปกรณ์
 5%]]+Table13514520105[[#This Row],[คอมฯ อุปกรณ์
25%]]</f>
        <v>0</v>
      </c>
      <c r="O18" s="309"/>
      <c r="P18" s="309"/>
      <c r="Q18" s="311">
        <f>IF(Table13514520105[[#This Row],[ค่าติดตั้ง/ค่าเชื่อมสัญญาณ]]&gt;Table13514520105[[#This Row],[ต้นทุนค่าติดตั้ง/ค่าเชื่อมสัญญาณ]],SUM(Table13514520105[[#This Row],[ค่าติดตั้ง/ค่าเชื่อมสัญญาณ]]-Table13514520105[[#This Row],[ต้นทุนค่าติดตั้ง/ค่าเชื่อมสัญญาณ]])*$Q$4,0)</f>
        <v>0</v>
      </c>
      <c r="R18" s="239">
        <f>Table13514520105[[#This Row],[รายการเบิก
คอมขาย]]+Table13514520105[[#This Row],[Total
คอมฯ อุปกรณ์]]+Table13514520105[[#This Row],[Total 
คอมฯค่าติดตั้ง/ค่าเชื่อมสัญญาณ]]</f>
        <v>0</v>
      </c>
      <c r="S18" s="312"/>
      <c r="T18" s="313"/>
      <c r="U18" s="314"/>
      <c r="V18" s="3"/>
    </row>
    <row r="19" spans="1:23" s="122" customFormat="1" ht="23.4" hidden="1" customHeight="1">
      <c r="A19" s="123">
        <v>5.0999999999999996</v>
      </c>
      <c r="B19" s="130"/>
      <c r="C19" s="242"/>
      <c r="D19" s="116"/>
      <c r="E19" s="116"/>
      <c r="F19" s="117"/>
      <c r="G19" s="118"/>
      <c r="H19" s="118"/>
      <c r="I19" s="40"/>
      <c r="J19" s="97"/>
      <c r="K19" s="102"/>
      <c r="L19" s="132"/>
      <c r="M19" s="133"/>
      <c r="N19" s="126"/>
      <c r="O19" s="133"/>
      <c r="P19" s="133"/>
      <c r="Q19" s="40"/>
      <c r="R19" s="238"/>
      <c r="S19" s="98"/>
      <c r="T19" s="148"/>
      <c r="U19" s="144"/>
      <c r="V19" s="99"/>
    </row>
    <row r="20" spans="1:23" s="122" customFormat="1" ht="23.4" hidden="1" customHeight="1" thickBot="1">
      <c r="A20" s="127">
        <v>5.2</v>
      </c>
      <c r="B20" s="124"/>
      <c r="C20" s="92"/>
      <c r="D20" s="116"/>
      <c r="E20" s="116"/>
      <c r="F20" s="117"/>
      <c r="G20" s="118"/>
      <c r="H20" s="118"/>
      <c r="I20" s="41"/>
      <c r="J20" s="117"/>
      <c r="K20" s="117"/>
      <c r="L20" s="133"/>
      <c r="M20" s="133"/>
      <c r="N20" s="126"/>
      <c r="O20" s="133"/>
      <c r="P20" s="133"/>
      <c r="Q20" s="41"/>
      <c r="R20" s="239"/>
      <c r="S20" s="100"/>
      <c r="T20" s="149"/>
      <c r="U20" s="145"/>
      <c r="V20" s="101"/>
    </row>
    <row r="21" spans="1:23" s="122" customFormat="1" ht="23.4" hidden="1" customHeight="1">
      <c r="A21" s="243">
        <v>6</v>
      </c>
      <c r="B21" s="128"/>
      <c r="C21" s="129"/>
      <c r="D21" s="27"/>
      <c r="E21" s="27"/>
      <c r="F21" s="120"/>
      <c r="G21" s="221"/>
      <c r="H21" s="120"/>
      <c r="I21" s="219">
        <f>Table13514520105[[#This Row],[ค่าบริการรายเดือนตาม Package]]+Table13514520105[[#This Row],[รายการเบิก
คอมขายเพิ่มเติม
(เป้าตามกำหนด)
100-200%]]</f>
        <v>0</v>
      </c>
      <c r="J21" s="120"/>
      <c r="K21" s="33"/>
      <c r="L21" s="121">
        <f>IF(Table13514520105[[#This Row],[ค่าขายอุปกรณ์]]&gt;Table13514520105[[#This Row],[ต้นทุนค่าขายอุปกรณ์]],Table13514520105[[#This Row],[ต้นทุนค่าขายอุปกรณ์]]*$L$4,Table13514520105[[#This Row],[ค่าขายอุปกรณ์]]*$L$4)</f>
        <v>0</v>
      </c>
      <c r="M21" s="121">
        <f>IF(Table13514520105[[#This Row],[ค่าขายอุปกรณ์]]&gt;Table13514520105[[#This Row],[ต้นทุนค่าขายอุปกรณ์]],SUM(Table13514520105[[#This Row],[ค่าขายอุปกรณ์]]-Table13514520105[[#This Row],[ต้นทุนค่าขายอุปกรณ์]])*$M$4,0)</f>
        <v>0</v>
      </c>
      <c r="N21" s="236">
        <f>Table13514520105[[#This Row],[คอมฯอุปกรณ์
 5%]]+Table13514520105[[#This Row],[คอมฯ อุปกรณ์
25%]]</f>
        <v>0</v>
      </c>
      <c r="O21" s="121"/>
      <c r="P21" s="121"/>
      <c r="Q21" s="234">
        <f>IF(Table13514520105[[#This Row],[ค่าติดตั้ง/ค่าเชื่อมสัญญาณ]]&gt;Table13514520105[[#This Row],[ต้นทุนค่าติดตั้ง/ค่าเชื่อมสัญญาณ]],SUM(Table13514520105[[#This Row],[ค่าติดตั้ง/ค่าเชื่อมสัญญาณ]]-Table13514520105[[#This Row],[ต้นทุนค่าติดตั้ง/ค่าเชื่อมสัญญาณ]])*$Q$4,0)</f>
        <v>0</v>
      </c>
      <c r="R21" s="237">
        <f>Table13514520105[[#This Row],[รายการเบิก
คอมขาย]]+Table13514520105[[#This Row],[Total
คอมฯ อุปกรณ์]]+Table13514520105[[#This Row],[Total 
คอมฯค่าติดตั้ง/ค่าเชื่อมสัญญาณ]]</f>
        <v>0</v>
      </c>
      <c r="S21" s="167"/>
      <c r="T21" s="147"/>
      <c r="U21" s="203"/>
      <c r="V21" s="3"/>
    </row>
    <row r="22" spans="1:23" s="122" customFormat="1" ht="23.4" hidden="1" customHeight="1">
      <c r="A22" s="244">
        <v>7.1</v>
      </c>
      <c r="B22" s="130"/>
      <c r="C22" s="140"/>
      <c r="D22" s="116"/>
      <c r="E22" s="116"/>
      <c r="F22" s="117"/>
      <c r="G22" s="118"/>
      <c r="H22" s="118"/>
      <c r="I22" s="40"/>
      <c r="J22" s="97"/>
      <c r="K22" s="102"/>
      <c r="L22" s="132"/>
      <c r="M22" s="133"/>
      <c r="N22" s="126"/>
      <c r="O22" s="133"/>
      <c r="P22" s="133"/>
      <c r="Q22" s="40"/>
      <c r="R22" s="238"/>
      <c r="S22" s="168"/>
      <c r="T22" s="204"/>
      <c r="U22" s="205"/>
      <c r="V22" s="3"/>
    </row>
    <row r="23" spans="1:23" s="122" customFormat="1" ht="23.4" hidden="1" customHeight="1" thickBot="1">
      <c r="A23" s="127">
        <v>7.2</v>
      </c>
      <c r="B23" s="124"/>
      <c r="C23" s="92"/>
      <c r="D23" s="116"/>
      <c r="E23" s="116"/>
      <c r="F23" s="117"/>
      <c r="G23" s="118"/>
      <c r="H23" s="118"/>
      <c r="I23" s="41"/>
      <c r="J23" s="117"/>
      <c r="K23" s="117"/>
      <c r="L23" s="133"/>
      <c r="M23" s="133"/>
      <c r="N23" s="126"/>
      <c r="O23" s="133"/>
      <c r="P23" s="133"/>
      <c r="Q23" s="41"/>
      <c r="R23" s="239"/>
      <c r="S23" s="170"/>
      <c r="T23" s="149"/>
      <c r="U23" s="30"/>
      <c r="V23" s="3"/>
    </row>
    <row r="24" spans="1:23" s="122" customFormat="1" ht="23.4" hidden="1" customHeight="1">
      <c r="A24" s="243">
        <v>7</v>
      </c>
      <c r="B24" s="245"/>
      <c r="C24" s="129"/>
      <c r="D24" s="27"/>
      <c r="E24" s="27"/>
      <c r="F24" s="120"/>
      <c r="G24" s="221"/>
      <c r="H24" s="120"/>
      <c r="I24" s="219">
        <f>Table13514520105[[#This Row],[ค่าบริการรายเดือนตาม Package]]+Table13514520105[[#This Row],[รายการเบิก
คอมขายเพิ่มเติม
(เป้าตามกำหนด)
100-200%]]</f>
        <v>0</v>
      </c>
      <c r="J24" s="120"/>
      <c r="K24" s="153"/>
      <c r="L24" s="121">
        <f>IF(Table13514520105[[#This Row],[ค่าขายอุปกรณ์]]&gt;Table13514520105[[#This Row],[ต้นทุนค่าขายอุปกรณ์]],Table13514520105[[#This Row],[ต้นทุนค่าขายอุปกรณ์]]*$L$4,Table13514520105[[#This Row],[ค่าขายอุปกรณ์]]*$L$4)</f>
        <v>0</v>
      </c>
      <c r="M24" s="121">
        <f>IF(Table13514520105[[#This Row],[ค่าขายอุปกรณ์]]&gt;Table13514520105[[#This Row],[ต้นทุนค่าขายอุปกรณ์]],SUM(Table13514520105[[#This Row],[ค่าขายอุปกรณ์]]-Table13514520105[[#This Row],[ต้นทุนค่าขายอุปกรณ์]])*$M$4,0)</f>
        <v>0</v>
      </c>
      <c r="N24" s="236">
        <f>Table13514520105[[#This Row],[คอมฯอุปกรณ์
 5%]]+Table13514520105[[#This Row],[คอมฯ อุปกรณ์
25%]]</f>
        <v>0</v>
      </c>
      <c r="O24" s="121"/>
      <c r="P24" s="153"/>
      <c r="Q24" s="234">
        <f>IF(Table13514520105[[#This Row],[ค่าติดตั้ง/ค่าเชื่อมสัญญาณ]]&gt;Table13514520105[[#This Row],[ต้นทุนค่าติดตั้ง/ค่าเชื่อมสัญญาณ]],SUM(Table13514520105[[#This Row],[ค่าติดตั้ง/ค่าเชื่อมสัญญาณ]]-Table13514520105[[#This Row],[ต้นทุนค่าติดตั้ง/ค่าเชื่อมสัญญาณ]])*$Q$4,0)</f>
        <v>0</v>
      </c>
      <c r="R24" s="237">
        <f>Table13514520105[[#This Row],[รายการเบิก
คอมขาย]]+Table13514520105[[#This Row],[Total
คอมฯ อุปกรณ์]]+Table13514520105[[#This Row],[Total 
คอมฯค่าติดตั้ง/ค่าเชื่อมสัญญาณ]]</f>
        <v>0</v>
      </c>
      <c r="S24" s="167"/>
      <c r="T24" s="147"/>
      <c r="U24" s="203"/>
      <c r="V24" s="3"/>
    </row>
    <row r="25" spans="1:23" s="122" customFormat="1" ht="23.4" hidden="1" customHeight="1">
      <c r="A25" s="244">
        <v>8.1</v>
      </c>
      <c r="B25" s="124"/>
      <c r="C25" s="242"/>
      <c r="D25" s="116"/>
      <c r="E25" s="116"/>
      <c r="F25" s="117"/>
      <c r="G25" s="118"/>
      <c r="H25" s="118"/>
      <c r="I25" s="40"/>
      <c r="J25" s="97"/>
      <c r="K25" s="102"/>
      <c r="L25" s="132"/>
      <c r="M25" s="133"/>
      <c r="N25" s="126"/>
      <c r="O25" s="133"/>
      <c r="P25" s="133"/>
      <c r="Q25" s="40"/>
      <c r="R25" s="238"/>
      <c r="S25" s="98"/>
      <c r="T25" s="169"/>
      <c r="U25" s="205"/>
      <c r="V25" s="3"/>
    </row>
    <row r="26" spans="1:23" s="122" customFormat="1" ht="82.2" hidden="1" customHeight="1" thickBot="1">
      <c r="A26" s="127">
        <v>8.1999999999999993</v>
      </c>
      <c r="B26" s="124"/>
      <c r="C26" s="235"/>
      <c r="D26" s="116"/>
      <c r="E26" s="116"/>
      <c r="F26" s="117"/>
      <c r="G26" s="118"/>
      <c r="H26" s="118"/>
      <c r="I26" s="41"/>
      <c r="J26" s="117"/>
      <c r="K26" s="117"/>
      <c r="L26" s="133"/>
      <c r="M26" s="133"/>
      <c r="N26" s="126"/>
      <c r="O26" s="133"/>
      <c r="P26" s="133"/>
      <c r="Q26" s="41"/>
      <c r="R26" s="239"/>
      <c r="S26" s="170"/>
      <c r="T26" s="166"/>
      <c r="U26" s="30"/>
      <c r="V26" s="171"/>
    </row>
    <row r="27" spans="1:23" ht="22.95" hidden="1" customHeight="1">
      <c r="A27" s="240">
        <v>8</v>
      </c>
      <c r="B27" s="241"/>
      <c r="C27" s="129"/>
      <c r="D27" s="27"/>
      <c r="E27" s="27"/>
      <c r="F27" s="120"/>
      <c r="G27" s="246"/>
      <c r="H27" s="120"/>
      <c r="I27" s="219">
        <f>Table13514520105[[#This Row],[ค่าบริการรายเดือนตาม Package]]+Table13514520105[[#This Row],[รายการเบิก
คอมขายเพิ่มเติม
(เป้าตามกำหนด)
100-200%]]</f>
        <v>0</v>
      </c>
      <c r="J27" s="120"/>
      <c r="K27" s="153"/>
      <c r="L27" s="121">
        <f>IF(Table13514520105[[#This Row],[ค่าขายอุปกรณ์]]&gt;Table13514520105[[#This Row],[ต้นทุนค่าขายอุปกรณ์]],Table13514520105[[#This Row],[ต้นทุนค่าขายอุปกรณ์]]*$L$4,Table13514520105[[#This Row],[ค่าขายอุปกรณ์]]*$L$4)</f>
        <v>0</v>
      </c>
      <c r="M27" s="121">
        <f>IF(Table13514520105[[#This Row],[ค่าขายอุปกรณ์]]&gt;Table13514520105[[#This Row],[ต้นทุนค่าขายอุปกรณ์]],SUM(Table13514520105[[#This Row],[ค่าขายอุปกรณ์]]-Table13514520105[[#This Row],[ต้นทุนค่าขายอุปกรณ์]])*$M$4,0)</f>
        <v>0</v>
      </c>
      <c r="N27" s="236">
        <f>Table13514520105[[#This Row],[คอมฯอุปกรณ์
 5%]]+Table13514520105[[#This Row],[คอมฯ อุปกรณ์
25%]]</f>
        <v>0</v>
      </c>
      <c r="O27" s="121"/>
      <c r="P27" s="121"/>
      <c r="Q27" s="234">
        <f>IF(Table13514520105[[#This Row],[ค่าติดตั้ง/ค่าเชื่อมสัญญาณ]]&gt;Table13514520105[[#This Row],[ต้นทุนค่าติดตั้ง/ค่าเชื่อมสัญญาณ]],SUM(Table13514520105[[#This Row],[ค่าติดตั้ง/ค่าเชื่อมสัญญาณ]]-Table13514520105[[#This Row],[ต้นทุนค่าติดตั้ง/ค่าเชื่อมสัญญาณ]])*$Q$4,0)</f>
        <v>0</v>
      </c>
      <c r="R27" s="237">
        <f>Table13514520105[[#This Row],[รายการเบิก
คอมขาย]]+Table13514520105[[#This Row],[Total
คอมฯ อุปกรณ์]]+Table13514520105[[#This Row],[Total 
คอมฯค่าติดตั้ง/ค่าเชื่อมสัญญาณ]]</f>
        <v>0</v>
      </c>
      <c r="S27" s="167"/>
      <c r="T27" s="165"/>
      <c r="U27" s="203"/>
      <c r="V27" s="3"/>
      <c r="W27" s="3"/>
    </row>
    <row r="28" spans="1:23" s="122" customFormat="1" ht="23.4" hidden="1" customHeight="1">
      <c r="A28" s="244">
        <v>9.1</v>
      </c>
      <c r="B28" s="124"/>
      <c r="C28" s="242"/>
      <c r="D28" s="116"/>
      <c r="E28" s="116"/>
      <c r="F28" s="117"/>
      <c r="G28" s="118"/>
      <c r="H28" s="118"/>
      <c r="I28" s="40"/>
      <c r="J28" s="97"/>
      <c r="K28" s="102"/>
      <c r="L28" s="132"/>
      <c r="M28" s="133"/>
      <c r="N28" s="126"/>
      <c r="O28" s="133"/>
      <c r="P28" s="133"/>
      <c r="Q28" s="40"/>
      <c r="R28" s="238"/>
      <c r="S28" s="168"/>
      <c r="T28" s="169"/>
      <c r="U28" s="205"/>
      <c r="V28" s="3"/>
    </row>
    <row r="29" spans="1:23" ht="25.5" hidden="1" customHeight="1">
      <c r="A29" s="127">
        <v>9.1999999999999993</v>
      </c>
      <c r="B29" s="124"/>
      <c r="C29" s="92"/>
      <c r="D29" s="116"/>
      <c r="E29" s="116"/>
      <c r="F29" s="117"/>
      <c r="G29" s="118"/>
      <c r="H29" s="118"/>
      <c r="I29" s="41"/>
      <c r="J29" s="117"/>
      <c r="K29" s="117"/>
      <c r="L29" s="133"/>
      <c r="M29" s="133"/>
      <c r="N29" s="126"/>
      <c r="O29" s="133"/>
      <c r="P29" s="133"/>
      <c r="Q29" s="41"/>
      <c r="R29" s="239"/>
      <c r="S29" s="206"/>
      <c r="T29" s="207"/>
      <c r="U29" s="208"/>
      <c r="V29" s="171"/>
      <c r="W29" s="3"/>
    </row>
    <row r="30" spans="1:23" ht="29.25" customHeight="1" thickBot="1">
      <c r="A30" s="108"/>
      <c r="B30" s="109"/>
      <c r="C30" s="110" t="s">
        <v>5</v>
      </c>
      <c r="D30" s="111"/>
      <c r="E30" s="111"/>
      <c r="F30" s="137">
        <f>SUBTOTAL(109,Table13514520105[ค่าบริการรายเดือนตาม Package])</f>
        <v>18542.060000000001</v>
      </c>
      <c r="G30" s="112"/>
      <c r="H30" s="137">
        <f>SUBTOTAL(109,Table13514520105[รายการเบิก
คอมขายเพิ่มเติม
(เป้าตามกำหนด)
100-200%])</f>
        <v>0</v>
      </c>
      <c r="I30" s="137">
        <f>SUBTOTAL(109,Table13514520105[รายการเบิก
คอมขาย])</f>
        <v>18542.060000000001</v>
      </c>
      <c r="J30" s="137">
        <f>SUBTOTAL(109,Table13514520105[ค่าขายอุปกรณ์])</f>
        <v>0</v>
      </c>
      <c r="K30" s="137">
        <f>SUBTOTAL(109,Table13514520105[ต้นทุนค่าขายอุปกรณ์])</f>
        <v>0</v>
      </c>
      <c r="L30" s="137">
        <f>SUBTOTAL(109,Table13514520105[คอมฯอุปกรณ์
 5%])</f>
        <v>0</v>
      </c>
      <c r="M30" s="137">
        <f>SUBTOTAL(109,Table13514520105[คอมฯ อุปกรณ์
25%])</f>
        <v>0</v>
      </c>
      <c r="N30" s="137"/>
      <c r="O30" s="137"/>
      <c r="P30" s="137"/>
      <c r="Q30" s="137">
        <f>SUBTOTAL(109,Table13514520105[Total 
คอมฯค่าติดตั้ง/ค่าเชื่อมสัญญาณ])</f>
        <v>0</v>
      </c>
      <c r="R30" s="139">
        <f>SUBTOTAL(109,Table13514520105[รวมค่าคอมฯ])</f>
        <v>18542.060000000001</v>
      </c>
      <c r="S30" s="112">
        <f>SUBTOTAL(109,Table13514520105[เลขที่ใบกำกับ/ใบเสร็จรับเงิน])</f>
        <v>0</v>
      </c>
      <c r="T30" s="152">
        <f>SUBTOTAL(109,Table13514520105[เลขที่นำส่งเงิน
])</f>
        <v>0</v>
      </c>
      <c r="U30" s="146"/>
      <c r="V30" s="247"/>
      <c r="W30" s="3"/>
    </row>
    <row r="31" spans="1:23" ht="15.6">
      <c r="A31" s="18"/>
      <c r="B31" s="18"/>
      <c r="C31" s="19"/>
      <c r="D31" s="19"/>
      <c r="E31" s="19"/>
      <c r="F31" s="10"/>
      <c r="G31" s="23"/>
      <c r="H31" s="23"/>
      <c r="I31" s="10"/>
      <c r="J31" s="10"/>
      <c r="K31" s="10"/>
      <c r="L31" s="20"/>
      <c r="M31" s="20"/>
      <c r="N31" s="20"/>
      <c r="O31" s="20"/>
      <c r="P31" s="20"/>
      <c r="Q31" s="10"/>
      <c r="R31" s="10"/>
      <c r="S31" s="22"/>
      <c r="T31" s="21"/>
      <c r="U31" s="22"/>
      <c r="W31" s="22"/>
    </row>
    <row r="32" spans="1:23" ht="28.5" customHeight="1">
      <c r="L32" s="31"/>
      <c r="M32" s="31"/>
      <c r="N32" s="31"/>
      <c r="O32" s="31"/>
      <c r="P32" s="31"/>
      <c r="S32" s="24"/>
      <c r="U32" s="24"/>
    </row>
    <row r="33" spans="3:21" ht="28.5" customHeight="1">
      <c r="S33" s="4"/>
      <c r="U33" s="4"/>
    </row>
    <row r="34" spans="3:21" ht="28.5" hidden="1" customHeight="1">
      <c r="S34" s="25"/>
      <c r="T34" s="106"/>
      <c r="U34" s="25"/>
    </row>
    <row r="35" spans="3:21" ht="28.5" hidden="1" customHeight="1">
      <c r="S35" s="25"/>
      <c r="T35" s="106"/>
      <c r="U35" s="25"/>
    </row>
    <row r="36" spans="3:21" ht="15" hidden="1">
      <c r="C36" s="4"/>
      <c r="D36" s="31"/>
      <c r="E36" s="31"/>
    </row>
    <row r="37" spans="3:21" ht="15" hidden="1">
      <c r="C37" s="26"/>
      <c r="D37" s="32"/>
      <c r="E37" s="32"/>
    </row>
    <row r="38" spans="3:21" ht="15" hidden="1"/>
    <row r="166" spans="10:10" ht="15" hidden="1">
      <c r="J166" s="31">
        <v>3</v>
      </c>
    </row>
  </sheetData>
  <sheetProtection formatCells="0" insertRows="0" insertHyperlinks="0" deleteRows="0" sort="0" autoFilter="0" pivotTables="0"/>
  <phoneticPr fontId="20" type="noConversion"/>
  <dataValidations count="3">
    <dataValidation type="list" allowBlank="1" showInputMessage="1" showErrorMessage="1" sqref="JH65536:JH65565 TD65536:TD65565 ACZ65536:ACZ65565 AMV65536:AMV65565 AWR65536:AWR65565 BGN65536:BGN65565 BQJ65536:BQJ65565 CAF65536:CAF65565 CKB65536:CKB65565 CTX65536:CTX65565 DDT65536:DDT65565 DNP65536:DNP65565 DXL65536:DXL65565 EHH65536:EHH65565 ERD65536:ERD65565 FAZ65536:FAZ65565 FKV65536:FKV65565 FUR65536:FUR65565 GEN65536:GEN65565 GOJ65536:GOJ65565 GYF65536:GYF65565 HIB65536:HIB65565 HRX65536:HRX65565 IBT65536:IBT65565 ILP65536:ILP65565 IVL65536:IVL65565 JFH65536:JFH65565 JPD65536:JPD65565 JYZ65536:JYZ65565 KIV65536:KIV65565 KSR65536:KSR65565 LCN65536:LCN65565 LMJ65536:LMJ65565 LWF65536:LWF65565 MGB65536:MGB65565 MPX65536:MPX65565 MZT65536:MZT65565 NJP65536:NJP65565 NTL65536:NTL65565 ODH65536:ODH65565 OND65536:OND65565 OWZ65536:OWZ65565 PGV65536:PGV65565 PQR65536:PQR65565 QAN65536:QAN65565 QKJ65536:QKJ65565 QUF65536:QUF65565 REB65536:REB65565 RNX65536:RNX65565 RXT65536:RXT65565 SHP65536:SHP65565 SRL65536:SRL65565 TBH65536:TBH65565 TLD65536:TLD65565 TUZ65536:TUZ65565 UEV65536:UEV65565 UOR65536:UOR65565 UYN65536:UYN65565 VIJ65536:VIJ65565 VSF65536:VSF65565 WCB65536:WCB65565 WLX65536:WLX65565 WVT65536:WVT65565 JH131072:JH131101 TD131072:TD131101 ACZ131072:ACZ131101 AMV131072:AMV131101 AWR131072:AWR131101 BGN131072:BGN131101 BQJ131072:BQJ131101 CAF131072:CAF131101 CKB131072:CKB131101 CTX131072:CTX131101 DDT131072:DDT131101 DNP131072:DNP131101 DXL131072:DXL131101 EHH131072:EHH131101 ERD131072:ERD131101 FAZ131072:FAZ131101 FKV131072:FKV131101 FUR131072:FUR131101 GEN131072:GEN131101 GOJ131072:GOJ131101 GYF131072:GYF131101 HIB131072:HIB131101 HRX131072:HRX131101 IBT131072:IBT131101 ILP131072:ILP131101 IVL131072:IVL131101 JFH131072:JFH131101 JPD131072:JPD131101 JYZ131072:JYZ131101 KIV131072:KIV131101 KSR131072:KSR131101 LCN131072:LCN131101 LMJ131072:LMJ131101 LWF131072:LWF131101 MGB131072:MGB131101 MPX131072:MPX131101 MZT131072:MZT131101 NJP131072:NJP131101 NTL131072:NTL131101 ODH131072:ODH131101 OND131072:OND131101 OWZ131072:OWZ131101 PGV131072:PGV131101 PQR131072:PQR131101 QAN131072:QAN131101 QKJ131072:QKJ131101 QUF131072:QUF131101 REB131072:REB131101 RNX131072:RNX131101 RXT131072:RXT131101 SHP131072:SHP131101 SRL131072:SRL131101 TBH131072:TBH131101 TLD131072:TLD131101 TUZ131072:TUZ131101 UEV131072:UEV131101 UOR131072:UOR131101 UYN131072:UYN131101 VIJ131072:VIJ131101 VSF131072:VSF131101 WCB131072:WCB131101 WLX131072:WLX131101 WVT131072:WVT131101 JH196608:JH196637 TD196608:TD196637 ACZ196608:ACZ196637 AMV196608:AMV196637 AWR196608:AWR196637 BGN196608:BGN196637 BQJ196608:BQJ196637 CAF196608:CAF196637 CKB196608:CKB196637 CTX196608:CTX196637 DDT196608:DDT196637 DNP196608:DNP196637 DXL196608:DXL196637 EHH196608:EHH196637 ERD196608:ERD196637 FAZ196608:FAZ196637 FKV196608:FKV196637 FUR196608:FUR196637 GEN196608:GEN196637 GOJ196608:GOJ196637 GYF196608:GYF196637 HIB196608:HIB196637 HRX196608:HRX196637 IBT196608:IBT196637 ILP196608:ILP196637 IVL196608:IVL196637 JFH196608:JFH196637 JPD196608:JPD196637 JYZ196608:JYZ196637 KIV196608:KIV196637 KSR196608:KSR196637 LCN196608:LCN196637 LMJ196608:LMJ196637 LWF196608:LWF196637 MGB196608:MGB196637 MPX196608:MPX196637 MZT196608:MZT196637 NJP196608:NJP196637 NTL196608:NTL196637 ODH196608:ODH196637 OND196608:OND196637 OWZ196608:OWZ196637 PGV196608:PGV196637 PQR196608:PQR196637 QAN196608:QAN196637 QKJ196608:QKJ196637 QUF196608:QUF196637 REB196608:REB196637 RNX196608:RNX196637 RXT196608:RXT196637 SHP196608:SHP196637 SRL196608:SRL196637 TBH196608:TBH196637 TLD196608:TLD196637 TUZ196608:TUZ196637 UEV196608:UEV196637 UOR196608:UOR196637 UYN196608:UYN196637 VIJ196608:VIJ196637 VSF196608:VSF196637 WCB196608:WCB196637 WLX196608:WLX196637 WVT196608:WVT196637 JH262144:JH262173 TD262144:TD262173 ACZ262144:ACZ262173 AMV262144:AMV262173 AWR262144:AWR262173 BGN262144:BGN262173 BQJ262144:BQJ262173 CAF262144:CAF262173 CKB262144:CKB262173 CTX262144:CTX262173 DDT262144:DDT262173 DNP262144:DNP262173 DXL262144:DXL262173 EHH262144:EHH262173 ERD262144:ERD262173 FAZ262144:FAZ262173 FKV262144:FKV262173 FUR262144:FUR262173 GEN262144:GEN262173 GOJ262144:GOJ262173 GYF262144:GYF262173 HIB262144:HIB262173 HRX262144:HRX262173 IBT262144:IBT262173 ILP262144:ILP262173 IVL262144:IVL262173 JFH262144:JFH262173 JPD262144:JPD262173 JYZ262144:JYZ262173 KIV262144:KIV262173 KSR262144:KSR262173 LCN262144:LCN262173 LMJ262144:LMJ262173 LWF262144:LWF262173 MGB262144:MGB262173 MPX262144:MPX262173 MZT262144:MZT262173 NJP262144:NJP262173 NTL262144:NTL262173 ODH262144:ODH262173 OND262144:OND262173 OWZ262144:OWZ262173 PGV262144:PGV262173 PQR262144:PQR262173 QAN262144:QAN262173 QKJ262144:QKJ262173 QUF262144:QUF262173 REB262144:REB262173 RNX262144:RNX262173 RXT262144:RXT262173 SHP262144:SHP262173 SRL262144:SRL262173 TBH262144:TBH262173 TLD262144:TLD262173 TUZ262144:TUZ262173 UEV262144:UEV262173 UOR262144:UOR262173 UYN262144:UYN262173 VIJ262144:VIJ262173 VSF262144:VSF262173 WCB262144:WCB262173 WLX262144:WLX262173 WVT262144:WVT262173 JH327680:JH327709 TD327680:TD327709 ACZ327680:ACZ327709 AMV327680:AMV327709 AWR327680:AWR327709 BGN327680:BGN327709 BQJ327680:BQJ327709 CAF327680:CAF327709 CKB327680:CKB327709 CTX327680:CTX327709 DDT327680:DDT327709 DNP327680:DNP327709 DXL327680:DXL327709 EHH327680:EHH327709 ERD327680:ERD327709 FAZ327680:FAZ327709 FKV327680:FKV327709 FUR327680:FUR327709 GEN327680:GEN327709 GOJ327680:GOJ327709 GYF327680:GYF327709 HIB327680:HIB327709 HRX327680:HRX327709 IBT327680:IBT327709 ILP327680:ILP327709 IVL327680:IVL327709 JFH327680:JFH327709 JPD327680:JPD327709 JYZ327680:JYZ327709 KIV327680:KIV327709 KSR327680:KSR327709 LCN327680:LCN327709 LMJ327680:LMJ327709 LWF327680:LWF327709 MGB327680:MGB327709 MPX327680:MPX327709 MZT327680:MZT327709 NJP327680:NJP327709 NTL327680:NTL327709 ODH327680:ODH327709 OND327680:OND327709 OWZ327680:OWZ327709 PGV327680:PGV327709 PQR327680:PQR327709 QAN327680:QAN327709 QKJ327680:QKJ327709 QUF327680:QUF327709 REB327680:REB327709 RNX327680:RNX327709 RXT327680:RXT327709 SHP327680:SHP327709 SRL327680:SRL327709 TBH327680:TBH327709 TLD327680:TLD327709 TUZ327680:TUZ327709 UEV327680:UEV327709 UOR327680:UOR327709 UYN327680:UYN327709 VIJ327680:VIJ327709 VSF327680:VSF327709 WCB327680:WCB327709 WLX327680:WLX327709 WVT327680:WVT327709 JH393216:JH393245 TD393216:TD393245 ACZ393216:ACZ393245 AMV393216:AMV393245 AWR393216:AWR393245 BGN393216:BGN393245 BQJ393216:BQJ393245 CAF393216:CAF393245 CKB393216:CKB393245 CTX393216:CTX393245 DDT393216:DDT393245 DNP393216:DNP393245 DXL393216:DXL393245 EHH393216:EHH393245 ERD393216:ERD393245 FAZ393216:FAZ393245 FKV393216:FKV393245 FUR393216:FUR393245 GEN393216:GEN393245 GOJ393216:GOJ393245 GYF393216:GYF393245 HIB393216:HIB393245 HRX393216:HRX393245 IBT393216:IBT393245 ILP393216:ILP393245 IVL393216:IVL393245 JFH393216:JFH393245 JPD393216:JPD393245 JYZ393216:JYZ393245 KIV393216:KIV393245 KSR393216:KSR393245 LCN393216:LCN393245 LMJ393216:LMJ393245 LWF393216:LWF393245 MGB393216:MGB393245 MPX393216:MPX393245 MZT393216:MZT393245 NJP393216:NJP393245 NTL393216:NTL393245 ODH393216:ODH393245 OND393216:OND393245 OWZ393216:OWZ393245 PGV393216:PGV393245 PQR393216:PQR393245 QAN393216:QAN393245 QKJ393216:QKJ393245 QUF393216:QUF393245 REB393216:REB393245 RNX393216:RNX393245 RXT393216:RXT393245 SHP393216:SHP393245 SRL393216:SRL393245 TBH393216:TBH393245 TLD393216:TLD393245 TUZ393216:TUZ393245 UEV393216:UEV393245 UOR393216:UOR393245 UYN393216:UYN393245 VIJ393216:VIJ393245 VSF393216:VSF393245 WCB393216:WCB393245 WLX393216:WLX393245 WVT393216:WVT393245 JH458752:JH458781 TD458752:TD458781 ACZ458752:ACZ458781 AMV458752:AMV458781 AWR458752:AWR458781 BGN458752:BGN458781 BQJ458752:BQJ458781 CAF458752:CAF458781 CKB458752:CKB458781 CTX458752:CTX458781 DDT458752:DDT458781 DNP458752:DNP458781 DXL458752:DXL458781 EHH458752:EHH458781 ERD458752:ERD458781 FAZ458752:FAZ458781 FKV458752:FKV458781 FUR458752:FUR458781 GEN458752:GEN458781 GOJ458752:GOJ458781 GYF458752:GYF458781 HIB458752:HIB458781 HRX458752:HRX458781 IBT458752:IBT458781 ILP458752:ILP458781 IVL458752:IVL458781 JFH458752:JFH458781 JPD458752:JPD458781 JYZ458752:JYZ458781 KIV458752:KIV458781 KSR458752:KSR458781 LCN458752:LCN458781 LMJ458752:LMJ458781 LWF458752:LWF458781 MGB458752:MGB458781 MPX458752:MPX458781 MZT458752:MZT458781 NJP458752:NJP458781 NTL458752:NTL458781 ODH458752:ODH458781 OND458752:OND458781 OWZ458752:OWZ458781 PGV458752:PGV458781 PQR458752:PQR458781 QAN458752:QAN458781 QKJ458752:QKJ458781 QUF458752:QUF458781 REB458752:REB458781 RNX458752:RNX458781 RXT458752:RXT458781 SHP458752:SHP458781 SRL458752:SRL458781 TBH458752:TBH458781 TLD458752:TLD458781 TUZ458752:TUZ458781 UEV458752:UEV458781 UOR458752:UOR458781 UYN458752:UYN458781 VIJ458752:VIJ458781 VSF458752:VSF458781 WCB458752:WCB458781 WLX458752:WLX458781 WVT458752:WVT458781 JH524288:JH524317 TD524288:TD524317 ACZ524288:ACZ524317 AMV524288:AMV524317 AWR524288:AWR524317 BGN524288:BGN524317 BQJ524288:BQJ524317 CAF524288:CAF524317 CKB524288:CKB524317 CTX524288:CTX524317 DDT524288:DDT524317 DNP524288:DNP524317 DXL524288:DXL524317 EHH524288:EHH524317 ERD524288:ERD524317 FAZ524288:FAZ524317 FKV524288:FKV524317 FUR524288:FUR524317 GEN524288:GEN524317 GOJ524288:GOJ524317 GYF524288:GYF524317 HIB524288:HIB524317 HRX524288:HRX524317 IBT524288:IBT524317 ILP524288:ILP524317 IVL524288:IVL524317 JFH524288:JFH524317 JPD524288:JPD524317 JYZ524288:JYZ524317 KIV524288:KIV524317 KSR524288:KSR524317 LCN524288:LCN524317 LMJ524288:LMJ524317 LWF524288:LWF524317 MGB524288:MGB524317 MPX524288:MPX524317 MZT524288:MZT524317 NJP524288:NJP524317 NTL524288:NTL524317 ODH524288:ODH524317 OND524288:OND524317 OWZ524288:OWZ524317 PGV524288:PGV524317 PQR524288:PQR524317 QAN524288:QAN524317 QKJ524288:QKJ524317 QUF524288:QUF524317 REB524288:REB524317 RNX524288:RNX524317 RXT524288:RXT524317 SHP524288:SHP524317 SRL524288:SRL524317 TBH524288:TBH524317 TLD524288:TLD524317 TUZ524288:TUZ524317 UEV524288:UEV524317 UOR524288:UOR524317 UYN524288:UYN524317 VIJ524288:VIJ524317 VSF524288:VSF524317 WCB524288:WCB524317 WLX524288:WLX524317 WVT524288:WVT524317 JH589824:JH589853 TD589824:TD589853 ACZ589824:ACZ589853 AMV589824:AMV589853 AWR589824:AWR589853 BGN589824:BGN589853 BQJ589824:BQJ589853 CAF589824:CAF589853 CKB589824:CKB589853 CTX589824:CTX589853 DDT589824:DDT589853 DNP589824:DNP589853 DXL589824:DXL589853 EHH589824:EHH589853 ERD589824:ERD589853 FAZ589824:FAZ589853 FKV589824:FKV589853 FUR589824:FUR589853 GEN589824:GEN589853 GOJ589824:GOJ589853 GYF589824:GYF589853 HIB589824:HIB589853 HRX589824:HRX589853 IBT589824:IBT589853 ILP589824:ILP589853 IVL589824:IVL589853 JFH589824:JFH589853 JPD589824:JPD589853 JYZ589824:JYZ589853 KIV589824:KIV589853 KSR589824:KSR589853 LCN589824:LCN589853 LMJ589824:LMJ589853 LWF589824:LWF589853 MGB589824:MGB589853 MPX589824:MPX589853 MZT589824:MZT589853 NJP589824:NJP589853 NTL589824:NTL589853 ODH589824:ODH589853 OND589824:OND589853 OWZ589824:OWZ589853 PGV589824:PGV589853 PQR589824:PQR589853 QAN589824:QAN589853 QKJ589824:QKJ589853 QUF589824:QUF589853 REB589824:REB589853 RNX589824:RNX589853 RXT589824:RXT589853 SHP589824:SHP589853 SRL589824:SRL589853 TBH589824:TBH589853 TLD589824:TLD589853 TUZ589824:TUZ589853 UEV589824:UEV589853 UOR589824:UOR589853 UYN589824:UYN589853 VIJ589824:VIJ589853 VSF589824:VSF589853 WCB589824:WCB589853 WLX589824:WLX589853 WVT589824:WVT589853 JH655360:JH655389 TD655360:TD655389 ACZ655360:ACZ655389 AMV655360:AMV655389 AWR655360:AWR655389 BGN655360:BGN655389 BQJ655360:BQJ655389 CAF655360:CAF655389 CKB655360:CKB655389 CTX655360:CTX655389 DDT655360:DDT655389 DNP655360:DNP655389 DXL655360:DXL655389 EHH655360:EHH655389 ERD655360:ERD655389 FAZ655360:FAZ655389 FKV655360:FKV655389 FUR655360:FUR655389 GEN655360:GEN655389 GOJ655360:GOJ655389 GYF655360:GYF655389 HIB655360:HIB655389 HRX655360:HRX655389 IBT655360:IBT655389 ILP655360:ILP655389 IVL655360:IVL655389 JFH655360:JFH655389 JPD655360:JPD655389 JYZ655360:JYZ655389 KIV655360:KIV655389 KSR655360:KSR655389 LCN655360:LCN655389 LMJ655360:LMJ655389 LWF655360:LWF655389 MGB655360:MGB655389 MPX655360:MPX655389 MZT655360:MZT655389 NJP655360:NJP655389 NTL655360:NTL655389 ODH655360:ODH655389 OND655360:OND655389 OWZ655360:OWZ655389 PGV655360:PGV655389 PQR655360:PQR655389 QAN655360:QAN655389 QKJ655360:QKJ655389 QUF655360:QUF655389 REB655360:REB655389 RNX655360:RNX655389 RXT655360:RXT655389 SHP655360:SHP655389 SRL655360:SRL655389 TBH655360:TBH655389 TLD655360:TLD655389 TUZ655360:TUZ655389 UEV655360:UEV655389 UOR655360:UOR655389 UYN655360:UYN655389 VIJ655360:VIJ655389 VSF655360:VSF655389 WCB655360:WCB655389 WLX655360:WLX655389 WVT655360:WVT655389 JH720896:JH720925 TD720896:TD720925 ACZ720896:ACZ720925 AMV720896:AMV720925 AWR720896:AWR720925 BGN720896:BGN720925 BQJ720896:BQJ720925 CAF720896:CAF720925 CKB720896:CKB720925 CTX720896:CTX720925 DDT720896:DDT720925 DNP720896:DNP720925 DXL720896:DXL720925 EHH720896:EHH720925 ERD720896:ERD720925 FAZ720896:FAZ720925 FKV720896:FKV720925 FUR720896:FUR720925 GEN720896:GEN720925 GOJ720896:GOJ720925 GYF720896:GYF720925 HIB720896:HIB720925 HRX720896:HRX720925 IBT720896:IBT720925 ILP720896:ILP720925 IVL720896:IVL720925 JFH720896:JFH720925 JPD720896:JPD720925 JYZ720896:JYZ720925 KIV720896:KIV720925 KSR720896:KSR720925 LCN720896:LCN720925 LMJ720896:LMJ720925 LWF720896:LWF720925 MGB720896:MGB720925 MPX720896:MPX720925 MZT720896:MZT720925 NJP720896:NJP720925 NTL720896:NTL720925 ODH720896:ODH720925 OND720896:OND720925 OWZ720896:OWZ720925 PGV720896:PGV720925 PQR720896:PQR720925 QAN720896:QAN720925 QKJ720896:QKJ720925 QUF720896:QUF720925 REB720896:REB720925 RNX720896:RNX720925 RXT720896:RXT720925 SHP720896:SHP720925 SRL720896:SRL720925 TBH720896:TBH720925 TLD720896:TLD720925 TUZ720896:TUZ720925 UEV720896:UEV720925 UOR720896:UOR720925 UYN720896:UYN720925 VIJ720896:VIJ720925 VSF720896:VSF720925 WCB720896:WCB720925 WLX720896:WLX720925 WVT720896:WVT720925 JH786432:JH786461 TD786432:TD786461 ACZ786432:ACZ786461 AMV786432:AMV786461 AWR786432:AWR786461 BGN786432:BGN786461 BQJ786432:BQJ786461 CAF786432:CAF786461 CKB786432:CKB786461 CTX786432:CTX786461 DDT786432:DDT786461 DNP786432:DNP786461 DXL786432:DXL786461 EHH786432:EHH786461 ERD786432:ERD786461 FAZ786432:FAZ786461 FKV786432:FKV786461 FUR786432:FUR786461 GEN786432:GEN786461 GOJ786432:GOJ786461 GYF786432:GYF786461 HIB786432:HIB786461 HRX786432:HRX786461 IBT786432:IBT786461 ILP786432:ILP786461 IVL786432:IVL786461 JFH786432:JFH786461 JPD786432:JPD786461 JYZ786432:JYZ786461 KIV786432:KIV786461 KSR786432:KSR786461 LCN786432:LCN786461 LMJ786432:LMJ786461 LWF786432:LWF786461 MGB786432:MGB786461 MPX786432:MPX786461 MZT786432:MZT786461 NJP786432:NJP786461 NTL786432:NTL786461 ODH786432:ODH786461 OND786432:OND786461 OWZ786432:OWZ786461 PGV786432:PGV786461 PQR786432:PQR786461 QAN786432:QAN786461 QKJ786432:QKJ786461 QUF786432:QUF786461 REB786432:REB786461 RNX786432:RNX786461 RXT786432:RXT786461 SHP786432:SHP786461 SRL786432:SRL786461 TBH786432:TBH786461 TLD786432:TLD786461 TUZ786432:TUZ786461 UEV786432:UEV786461 UOR786432:UOR786461 UYN786432:UYN786461 VIJ786432:VIJ786461 VSF786432:VSF786461 WCB786432:WCB786461 WLX786432:WLX786461 WVT786432:WVT786461 JH851968:JH851997 TD851968:TD851997 ACZ851968:ACZ851997 AMV851968:AMV851997 AWR851968:AWR851997 BGN851968:BGN851997 BQJ851968:BQJ851997 CAF851968:CAF851997 CKB851968:CKB851997 CTX851968:CTX851997 DDT851968:DDT851997 DNP851968:DNP851997 DXL851968:DXL851997 EHH851968:EHH851997 ERD851968:ERD851997 FAZ851968:FAZ851997 FKV851968:FKV851997 FUR851968:FUR851997 GEN851968:GEN851997 GOJ851968:GOJ851997 GYF851968:GYF851997 HIB851968:HIB851997 HRX851968:HRX851997 IBT851968:IBT851997 ILP851968:ILP851997 IVL851968:IVL851997 JFH851968:JFH851997 JPD851968:JPD851997 JYZ851968:JYZ851997 KIV851968:KIV851997 KSR851968:KSR851997 LCN851968:LCN851997 LMJ851968:LMJ851997 LWF851968:LWF851997 MGB851968:MGB851997 MPX851968:MPX851997 MZT851968:MZT851997 NJP851968:NJP851997 NTL851968:NTL851997 ODH851968:ODH851997 OND851968:OND851997 OWZ851968:OWZ851997 PGV851968:PGV851997 PQR851968:PQR851997 QAN851968:QAN851997 QKJ851968:QKJ851997 QUF851968:QUF851997 REB851968:REB851997 RNX851968:RNX851997 RXT851968:RXT851997 SHP851968:SHP851997 SRL851968:SRL851997 TBH851968:TBH851997 TLD851968:TLD851997 TUZ851968:TUZ851997 UEV851968:UEV851997 UOR851968:UOR851997 UYN851968:UYN851997 VIJ851968:VIJ851997 VSF851968:VSF851997 WCB851968:WCB851997 WLX851968:WLX851997 WVT851968:WVT851997 JH917504:JH917533 TD917504:TD917533 ACZ917504:ACZ917533 AMV917504:AMV917533 AWR917504:AWR917533 BGN917504:BGN917533 BQJ917504:BQJ917533 CAF917504:CAF917533 CKB917504:CKB917533 CTX917504:CTX917533 DDT917504:DDT917533 DNP917504:DNP917533 DXL917504:DXL917533 EHH917504:EHH917533 ERD917504:ERD917533 FAZ917504:FAZ917533 FKV917504:FKV917533 FUR917504:FUR917533 GEN917504:GEN917533 GOJ917504:GOJ917533 GYF917504:GYF917533 HIB917504:HIB917533 HRX917504:HRX917533 IBT917504:IBT917533 ILP917504:ILP917533 IVL917504:IVL917533 JFH917504:JFH917533 JPD917504:JPD917533 JYZ917504:JYZ917533 KIV917504:KIV917533 KSR917504:KSR917533 LCN917504:LCN917533 LMJ917504:LMJ917533 LWF917504:LWF917533 MGB917504:MGB917533 MPX917504:MPX917533 MZT917504:MZT917533 NJP917504:NJP917533 NTL917504:NTL917533 ODH917504:ODH917533 OND917504:OND917533 OWZ917504:OWZ917533 PGV917504:PGV917533 PQR917504:PQR917533 QAN917504:QAN917533 QKJ917504:QKJ917533 QUF917504:QUF917533 REB917504:REB917533 RNX917504:RNX917533 RXT917504:RXT917533 SHP917504:SHP917533 SRL917504:SRL917533 TBH917504:TBH917533 TLD917504:TLD917533 TUZ917504:TUZ917533 UEV917504:UEV917533 UOR917504:UOR917533 UYN917504:UYN917533 VIJ917504:VIJ917533 VSF917504:VSF917533 WCB917504:WCB917533 WLX917504:WLX917533 WVT917504:WVT917533 JH983040:JH983069 TD983040:TD983069 ACZ983040:ACZ983069 AMV983040:AMV983069 AWR983040:AWR983069 BGN983040:BGN983069 BQJ983040:BQJ983069 CAF983040:CAF983069 CKB983040:CKB983069 CTX983040:CTX983069 DDT983040:DDT983069 DNP983040:DNP983069 DXL983040:DXL983069 EHH983040:EHH983069 ERD983040:ERD983069 FAZ983040:FAZ983069 FKV983040:FKV983069 FUR983040:FUR983069 GEN983040:GEN983069 GOJ983040:GOJ983069 GYF983040:GYF983069 HIB983040:HIB983069 HRX983040:HRX983069 IBT983040:IBT983069 ILP983040:ILP983069 IVL983040:IVL983069 JFH983040:JFH983069 JPD983040:JPD983069 JYZ983040:JYZ983069 KIV983040:KIV983069 KSR983040:KSR983069 LCN983040:LCN983069 LMJ983040:LMJ983069 LWF983040:LWF983069 MGB983040:MGB983069 MPX983040:MPX983069 MZT983040:MZT983069 NJP983040:NJP983069 NTL983040:NTL983069 ODH983040:ODH983069 OND983040:OND983069 OWZ983040:OWZ983069 PGV983040:PGV983069 PQR983040:PQR983069 QAN983040:QAN983069 QKJ983040:QKJ983069 QUF983040:QUF983069 REB983040:REB983069 RNX983040:RNX983069 RXT983040:RXT983069 SHP983040:SHP983069 SRL983040:SRL983069 TBH983040:TBH983069 TLD983040:TLD983069 TUZ983040:TUZ983069 UEV983040:UEV983069 UOR983040:UOR983069 UYN983040:UYN983069 VIJ983040:VIJ983069 VSF983040:VSF983069 WCB983040:WCB983069 WLX983040:WLX983069 WVT983040:WVT983069 JD6:JD29 SZ6:SZ29 ACV6:ACV29 AMR6:AMR29 AWN6:AWN29 BGJ6:BGJ29 BQF6:BQF29 CAB6:CAB29 CJX6:CJX29 CTT6:CTT29 DDP6:DDP29 DNL6:DNL29 DXH6:DXH29 EHD6:EHD29 EQZ6:EQZ29 FAV6:FAV29 FKR6:FKR29 FUN6:FUN29 GEJ6:GEJ29 GOF6:GOF29 GYB6:GYB29 HHX6:HHX29 HRT6:HRT29 IBP6:IBP29 ILL6:ILL29 IVH6:IVH29 JFD6:JFD29 JOZ6:JOZ29 JYV6:JYV29 KIR6:KIR29 KSN6:KSN29 LCJ6:LCJ29 LMF6:LMF29 LWB6:LWB29 MFX6:MFX29 MPT6:MPT29 MZP6:MZP29 NJL6:NJL29 NTH6:NTH29 ODD6:ODD29 OMZ6:OMZ29 OWV6:OWV29 PGR6:PGR29 PQN6:PQN29 QAJ6:QAJ29 QKF6:QKF29 QUB6:QUB29 RDX6:RDX29 RNT6:RNT29 RXP6:RXP29 SHL6:SHL29 SRH6:SRH29 TBD6:TBD29 TKZ6:TKZ29 TUV6:TUV29 UER6:UER29 UON6:UON29 UYJ6:UYJ29 VIF6:VIF29 VSB6:VSB29 WBX6:WBX29 WLT6:WLT29 WVP6:WVP29" xr:uid="{83C497BE-C8D6-4AC4-BC4B-61BD16D3D6A2}">
      <formula1>"จันทราภรณ์, รัฏฏิการ์, คชเขม, มาร์ค,สมเด็"</formula1>
    </dataValidation>
    <dataValidation type="list" allowBlank="1" showInputMessage="1" showErrorMessage="1" sqref="WVU983040:WVU983069 JI65536:JI65565 TE65536:TE65565 ADA65536:ADA65565 AMW65536:AMW65565 AWS65536:AWS65565 BGO65536:BGO65565 BQK65536:BQK65565 CAG65536:CAG65565 CKC65536:CKC65565 CTY65536:CTY65565 DDU65536:DDU65565 DNQ65536:DNQ65565 DXM65536:DXM65565 EHI65536:EHI65565 ERE65536:ERE65565 FBA65536:FBA65565 FKW65536:FKW65565 FUS65536:FUS65565 GEO65536:GEO65565 GOK65536:GOK65565 GYG65536:GYG65565 HIC65536:HIC65565 HRY65536:HRY65565 IBU65536:IBU65565 ILQ65536:ILQ65565 IVM65536:IVM65565 JFI65536:JFI65565 JPE65536:JPE65565 JZA65536:JZA65565 KIW65536:KIW65565 KSS65536:KSS65565 LCO65536:LCO65565 LMK65536:LMK65565 LWG65536:LWG65565 MGC65536:MGC65565 MPY65536:MPY65565 MZU65536:MZU65565 NJQ65536:NJQ65565 NTM65536:NTM65565 ODI65536:ODI65565 ONE65536:ONE65565 OXA65536:OXA65565 PGW65536:PGW65565 PQS65536:PQS65565 QAO65536:QAO65565 QKK65536:QKK65565 QUG65536:QUG65565 REC65536:REC65565 RNY65536:RNY65565 RXU65536:RXU65565 SHQ65536:SHQ65565 SRM65536:SRM65565 TBI65536:TBI65565 TLE65536:TLE65565 TVA65536:TVA65565 UEW65536:UEW65565 UOS65536:UOS65565 UYO65536:UYO65565 VIK65536:VIK65565 VSG65536:VSG65565 WCC65536:WCC65565 WLY65536:WLY65565 WVU65536:WVU65565 JI131072:JI131101 TE131072:TE131101 ADA131072:ADA131101 AMW131072:AMW131101 AWS131072:AWS131101 BGO131072:BGO131101 BQK131072:BQK131101 CAG131072:CAG131101 CKC131072:CKC131101 CTY131072:CTY131101 DDU131072:DDU131101 DNQ131072:DNQ131101 DXM131072:DXM131101 EHI131072:EHI131101 ERE131072:ERE131101 FBA131072:FBA131101 FKW131072:FKW131101 FUS131072:FUS131101 GEO131072:GEO131101 GOK131072:GOK131101 GYG131072:GYG131101 HIC131072:HIC131101 HRY131072:HRY131101 IBU131072:IBU131101 ILQ131072:ILQ131101 IVM131072:IVM131101 JFI131072:JFI131101 JPE131072:JPE131101 JZA131072:JZA131101 KIW131072:KIW131101 KSS131072:KSS131101 LCO131072:LCO131101 LMK131072:LMK131101 LWG131072:LWG131101 MGC131072:MGC131101 MPY131072:MPY131101 MZU131072:MZU131101 NJQ131072:NJQ131101 NTM131072:NTM131101 ODI131072:ODI131101 ONE131072:ONE131101 OXA131072:OXA131101 PGW131072:PGW131101 PQS131072:PQS131101 QAO131072:QAO131101 QKK131072:QKK131101 QUG131072:QUG131101 REC131072:REC131101 RNY131072:RNY131101 RXU131072:RXU131101 SHQ131072:SHQ131101 SRM131072:SRM131101 TBI131072:TBI131101 TLE131072:TLE131101 TVA131072:TVA131101 UEW131072:UEW131101 UOS131072:UOS131101 UYO131072:UYO131101 VIK131072:VIK131101 VSG131072:VSG131101 WCC131072:WCC131101 WLY131072:WLY131101 WVU131072:WVU131101 JI196608:JI196637 TE196608:TE196637 ADA196608:ADA196637 AMW196608:AMW196637 AWS196608:AWS196637 BGO196608:BGO196637 BQK196608:BQK196637 CAG196608:CAG196637 CKC196608:CKC196637 CTY196608:CTY196637 DDU196608:DDU196637 DNQ196608:DNQ196637 DXM196608:DXM196637 EHI196608:EHI196637 ERE196608:ERE196637 FBA196608:FBA196637 FKW196608:FKW196637 FUS196608:FUS196637 GEO196608:GEO196637 GOK196608:GOK196637 GYG196608:GYG196637 HIC196608:HIC196637 HRY196608:HRY196637 IBU196608:IBU196637 ILQ196608:ILQ196637 IVM196608:IVM196637 JFI196608:JFI196637 JPE196608:JPE196637 JZA196608:JZA196637 KIW196608:KIW196637 KSS196608:KSS196637 LCO196608:LCO196637 LMK196608:LMK196637 LWG196608:LWG196637 MGC196608:MGC196637 MPY196608:MPY196637 MZU196608:MZU196637 NJQ196608:NJQ196637 NTM196608:NTM196637 ODI196608:ODI196637 ONE196608:ONE196637 OXA196608:OXA196637 PGW196608:PGW196637 PQS196608:PQS196637 QAO196608:QAO196637 QKK196608:QKK196637 QUG196608:QUG196637 REC196608:REC196637 RNY196608:RNY196637 RXU196608:RXU196637 SHQ196608:SHQ196637 SRM196608:SRM196637 TBI196608:TBI196637 TLE196608:TLE196637 TVA196608:TVA196637 UEW196608:UEW196637 UOS196608:UOS196637 UYO196608:UYO196637 VIK196608:VIK196637 VSG196608:VSG196637 WCC196608:WCC196637 WLY196608:WLY196637 WVU196608:WVU196637 JI262144:JI262173 TE262144:TE262173 ADA262144:ADA262173 AMW262144:AMW262173 AWS262144:AWS262173 BGO262144:BGO262173 BQK262144:BQK262173 CAG262144:CAG262173 CKC262144:CKC262173 CTY262144:CTY262173 DDU262144:DDU262173 DNQ262144:DNQ262173 DXM262144:DXM262173 EHI262144:EHI262173 ERE262144:ERE262173 FBA262144:FBA262173 FKW262144:FKW262173 FUS262144:FUS262173 GEO262144:GEO262173 GOK262144:GOK262173 GYG262144:GYG262173 HIC262144:HIC262173 HRY262144:HRY262173 IBU262144:IBU262173 ILQ262144:ILQ262173 IVM262144:IVM262173 JFI262144:JFI262173 JPE262144:JPE262173 JZA262144:JZA262173 KIW262144:KIW262173 KSS262144:KSS262173 LCO262144:LCO262173 LMK262144:LMK262173 LWG262144:LWG262173 MGC262144:MGC262173 MPY262144:MPY262173 MZU262144:MZU262173 NJQ262144:NJQ262173 NTM262144:NTM262173 ODI262144:ODI262173 ONE262144:ONE262173 OXA262144:OXA262173 PGW262144:PGW262173 PQS262144:PQS262173 QAO262144:QAO262173 QKK262144:QKK262173 QUG262144:QUG262173 REC262144:REC262173 RNY262144:RNY262173 RXU262144:RXU262173 SHQ262144:SHQ262173 SRM262144:SRM262173 TBI262144:TBI262173 TLE262144:TLE262173 TVA262144:TVA262173 UEW262144:UEW262173 UOS262144:UOS262173 UYO262144:UYO262173 VIK262144:VIK262173 VSG262144:VSG262173 WCC262144:WCC262173 WLY262144:WLY262173 WVU262144:WVU262173 JI327680:JI327709 TE327680:TE327709 ADA327680:ADA327709 AMW327680:AMW327709 AWS327680:AWS327709 BGO327680:BGO327709 BQK327680:BQK327709 CAG327680:CAG327709 CKC327680:CKC327709 CTY327680:CTY327709 DDU327680:DDU327709 DNQ327680:DNQ327709 DXM327680:DXM327709 EHI327680:EHI327709 ERE327680:ERE327709 FBA327680:FBA327709 FKW327680:FKW327709 FUS327680:FUS327709 GEO327680:GEO327709 GOK327680:GOK327709 GYG327680:GYG327709 HIC327680:HIC327709 HRY327680:HRY327709 IBU327680:IBU327709 ILQ327680:ILQ327709 IVM327680:IVM327709 JFI327680:JFI327709 JPE327680:JPE327709 JZA327680:JZA327709 KIW327680:KIW327709 KSS327680:KSS327709 LCO327680:LCO327709 LMK327680:LMK327709 LWG327680:LWG327709 MGC327680:MGC327709 MPY327680:MPY327709 MZU327680:MZU327709 NJQ327680:NJQ327709 NTM327680:NTM327709 ODI327680:ODI327709 ONE327680:ONE327709 OXA327680:OXA327709 PGW327680:PGW327709 PQS327680:PQS327709 QAO327680:QAO327709 QKK327680:QKK327709 QUG327680:QUG327709 REC327680:REC327709 RNY327680:RNY327709 RXU327680:RXU327709 SHQ327680:SHQ327709 SRM327680:SRM327709 TBI327680:TBI327709 TLE327680:TLE327709 TVA327680:TVA327709 UEW327680:UEW327709 UOS327680:UOS327709 UYO327680:UYO327709 VIK327680:VIK327709 VSG327680:VSG327709 WCC327680:WCC327709 WLY327680:WLY327709 WVU327680:WVU327709 JI393216:JI393245 TE393216:TE393245 ADA393216:ADA393245 AMW393216:AMW393245 AWS393216:AWS393245 BGO393216:BGO393245 BQK393216:BQK393245 CAG393216:CAG393245 CKC393216:CKC393245 CTY393216:CTY393245 DDU393216:DDU393245 DNQ393216:DNQ393245 DXM393216:DXM393245 EHI393216:EHI393245 ERE393216:ERE393245 FBA393216:FBA393245 FKW393216:FKW393245 FUS393216:FUS393245 GEO393216:GEO393245 GOK393216:GOK393245 GYG393216:GYG393245 HIC393216:HIC393245 HRY393216:HRY393245 IBU393216:IBU393245 ILQ393216:ILQ393245 IVM393216:IVM393245 JFI393216:JFI393245 JPE393216:JPE393245 JZA393216:JZA393245 KIW393216:KIW393245 KSS393216:KSS393245 LCO393216:LCO393245 LMK393216:LMK393245 LWG393216:LWG393245 MGC393216:MGC393245 MPY393216:MPY393245 MZU393216:MZU393245 NJQ393216:NJQ393245 NTM393216:NTM393245 ODI393216:ODI393245 ONE393216:ONE393245 OXA393216:OXA393245 PGW393216:PGW393245 PQS393216:PQS393245 QAO393216:QAO393245 QKK393216:QKK393245 QUG393216:QUG393245 REC393216:REC393245 RNY393216:RNY393245 RXU393216:RXU393245 SHQ393216:SHQ393245 SRM393216:SRM393245 TBI393216:TBI393245 TLE393216:TLE393245 TVA393216:TVA393245 UEW393216:UEW393245 UOS393216:UOS393245 UYO393216:UYO393245 VIK393216:VIK393245 VSG393216:VSG393245 WCC393216:WCC393245 WLY393216:WLY393245 WVU393216:WVU393245 JI458752:JI458781 TE458752:TE458781 ADA458752:ADA458781 AMW458752:AMW458781 AWS458752:AWS458781 BGO458752:BGO458781 BQK458752:BQK458781 CAG458752:CAG458781 CKC458752:CKC458781 CTY458752:CTY458781 DDU458752:DDU458781 DNQ458752:DNQ458781 DXM458752:DXM458781 EHI458752:EHI458781 ERE458752:ERE458781 FBA458752:FBA458781 FKW458752:FKW458781 FUS458752:FUS458781 GEO458752:GEO458781 GOK458752:GOK458781 GYG458752:GYG458781 HIC458752:HIC458781 HRY458752:HRY458781 IBU458752:IBU458781 ILQ458752:ILQ458781 IVM458752:IVM458781 JFI458752:JFI458781 JPE458752:JPE458781 JZA458752:JZA458781 KIW458752:KIW458781 KSS458752:KSS458781 LCO458752:LCO458781 LMK458752:LMK458781 LWG458752:LWG458781 MGC458752:MGC458781 MPY458752:MPY458781 MZU458752:MZU458781 NJQ458752:NJQ458781 NTM458752:NTM458781 ODI458752:ODI458781 ONE458752:ONE458781 OXA458752:OXA458781 PGW458752:PGW458781 PQS458752:PQS458781 QAO458752:QAO458781 QKK458752:QKK458781 QUG458752:QUG458781 REC458752:REC458781 RNY458752:RNY458781 RXU458752:RXU458781 SHQ458752:SHQ458781 SRM458752:SRM458781 TBI458752:TBI458781 TLE458752:TLE458781 TVA458752:TVA458781 UEW458752:UEW458781 UOS458752:UOS458781 UYO458752:UYO458781 VIK458752:VIK458781 VSG458752:VSG458781 WCC458752:WCC458781 WLY458752:WLY458781 WVU458752:WVU458781 JI524288:JI524317 TE524288:TE524317 ADA524288:ADA524317 AMW524288:AMW524317 AWS524288:AWS524317 BGO524288:BGO524317 BQK524288:BQK524317 CAG524288:CAG524317 CKC524288:CKC524317 CTY524288:CTY524317 DDU524288:DDU524317 DNQ524288:DNQ524317 DXM524288:DXM524317 EHI524288:EHI524317 ERE524288:ERE524317 FBA524288:FBA524317 FKW524288:FKW524317 FUS524288:FUS524317 GEO524288:GEO524317 GOK524288:GOK524317 GYG524288:GYG524317 HIC524288:HIC524317 HRY524288:HRY524317 IBU524288:IBU524317 ILQ524288:ILQ524317 IVM524288:IVM524317 JFI524288:JFI524317 JPE524288:JPE524317 JZA524288:JZA524317 KIW524288:KIW524317 KSS524288:KSS524317 LCO524288:LCO524317 LMK524288:LMK524317 LWG524288:LWG524317 MGC524288:MGC524317 MPY524288:MPY524317 MZU524288:MZU524317 NJQ524288:NJQ524317 NTM524288:NTM524317 ODI524288:ODI524317 ONE524288:ONE524317 OXA524288:OXA524317 PGW524288:PGW524317 PQS524288:PQS524317 QAO524288:QAO524317 QKK524288:QKK524317 QUG524288:QUG524317 REC524288:REC524317 RNY524288:RNY524317 RXU524288:RXU524317 SHQ524288:SHQ524317 SRM524288:SRM524317 TBI524288:TBI524317 TLE524288:TLE524317 TVA524288:TVA524317 UEW524288:UEW524317 UOS524288:UOS524317 UYO524288:UYO524317 VIK524288:VIK524317 VSG524288:VSG524317 WCC524288:WCC524317 WLY524288:WLY524317 WVU524288:WVU524317 JI589824:JI589853 TE589824:TE589853 ADA589824:ADA589853 AMW589824:AMW589853 AWS589824:AWS589853 BGO589824:BGO589853 BQK589824:BQK589853 CAG589824:CAG589853 CKC589824:CKC589853 CTY589824:CTY589853 DDU589824:DDU589853 DNQ589824:DNQ589853 DXM589824:DXM589853 EHI589824:EHI589853 ERE589824:ERE589853 FBA589824:FBA589853 FKW589824:FKW589853 FUS589824:FUS589853 GEO589824:GEO589853 GOK589824:GOK589853 GYG589824:GYG589853 HIC589824:HIC589853 HRY589824:HRY589853 IBU589824:IBU589853 ILQ589824:ILQ589853 IVM589824:IVM589853 JFI589824:JFI589853 JPE589824:JPE589853 JZA589824:JZA589853 KIW589824:KIW589853 KSS589824:KSS589853 LCO589824:LCO589853 LMK589824:LMK589853 LWG589824:LWG589853 MGC589824:MGC589853 MPY589824:MPY589853 MZU589824:MZU589853 NJQ589824:NJQ589853 NTM589824:NTM589853 ODI589824:ODI589853 ONE589824:ONE589853 OXA589824:OXA589853 PGW589824:PGW589853 PQS589824:PQS589853 QAO589824:QAO589853 QKK589824:QKK589853 QUG589824:QUG589853 REC589824:REC589853 RNY589824:RNY589853 RXU589824:RXU589853 SHQ589824:SHQ589853 SRM589824:SRM589853 TBI589824:TBI589853 TLE589824:TLE589853 TVA589824:TVA589853 UEW589824:UEW589853 UOS589824:UOS589853 UYO589824:UYO589853 VIK589824:VIK589853 VSG589824:VSG589853 WCC589824:WCC589853 WLY589824:WLY589853 WVU589824:WVU589853 JI655360:JI655389 TE655360:TE655389 ADA655360:ADA655389 AMW655360:AMW655389 AWS655360:AWS655389 BGO655360:BGO655389 BQK655360:BQK655389 CAG655360:CAG655389 CKC655360:CKC655389 CTY655360:CTY655389 DDU655360:DDU655389 DNQ655360:DNQ655389 DXM655360:DXM655389 EHI655360:EHI655389 ERE655360:ERE655389 FBA655360:FBA655389 FKW655360:FKW655389 FUS655360:FUS655389 GEO655360:GEO655389 GOK655360:GOK655389 GYG655360:GYG655389 HIC655360:HIC655389 HRY655360:HRY655389 IBU655360:IBU655389 ILQ655360:ILQ655389 IVM655360:IVM655389 JFI655360:JFI655389 JPE655360:JPE655389 JZA655360:JZA655389 KIW655360:KIW655389 KSS655360:KSS655389 LCO655360:LCO655389 LMK655360:LMK655389 LWG655360:LWG655389 MGC655360:MGC655389 MPY655360:MPY655389 MZU655360:MZU655389 NJQ655360:NJQ655389 NTM655360:NTM655389 ODI655360:ODI655389 ONE655360:ONE655389 OXA655360:OXA655389 PGW655360:PGW655389 PQS655360:PQS655389 QAO655360:QAO655389 QKK655360:QKK655389 QUG655360:QUG655389 REC655360:REC655389 RNY655360:RNY655389 RXU655360:RXU655389 SHQ655360:SHQ655389 SRM655360:SRM655389 TBI655360:TBI655389 TLE655360:TLE655389 TVA655360:TVA655389 UEW655360:UEW655389 UOS655360:UOS655389 UYO655360:UYO655389 VIK655360:VIK655389 VSG655360:VSG655389 WCC655360:WCC655389 WLY655360:WLY655389 WVU655360:WVU655389 JI720896:JI720925 TE720896:TE720925 ADA720896:ADA720925 AMW720896:AMW720925 AWS720896:AWS720925 BGO720896:BGO720925 BQK720896:BQK720925 CAG720896:CAG720925 CKC720896:CKC720925 CTY720896:CTY720925 DDU720896:DDU720925 DNQ720896:DNQ720925 DXM720896:DXM720925 EHI720896:EHI720925 ERE720896:ERE720925 FBA720896:FBA720925 FKW720896:FKW720925 FUS720896:FUS720925 GEO720896:GEO720925 GOK720896:GOK720925 GYG720896:GYG720925 HIC720896:HIC720925 HRY720896:HRY720925 IBU720896:IBU720925 ILQ720896:ILQ720925 IVM720896:IVM720925 JFI720896:JFI720925 JPE720896:JPE720925 JZA720896:JZA720925 KIW720896:KIW720925 KSS720896:KSS720925 LCO720896:LCO720925 LMK720896:LMK720925 LWG720896:LWG720925 MGC720896:MGC720925 MPY720896:MPY720925 MZU720896:MZU720925 NJQ720896:NJQ720925 NTM720896:NTM720925 ODI720896:ODI720925 ONE720896:ONE720925 OXA720896:OXA720925 PGW720896:PGW720925 PQS720896:PQS720925 QAO720896:QAO720925 QKK720896:QKK720925 QUG720896:QUG720925 REC720896:REC720925 RNY720896:RNY720925 RXU720896:RXU720925 SHQ720896:SHQ720925 SRM720896:SRM720925 TBI720896:TBI720925 TLE720896:TLE720925 TVA720896:TVA720925 UEW720896:UEW720925 UOS720896:UOS720925 UYO720896:UYO720925 VIK720896:VIK720925 VSG720896:VSG720925 WCC720896:WCC720925 WLY720896:WLY720925 WVU720896:WVU720925 JI786432:JI786461 TE786432:TE786461 ADA786432:ADA786461 AMW786432:AMW786461 AWS786432:AWS786461 BGO786432:BGO786461 BQK786432:BQK786461 CAG786432:CAG786461 CKC786432:CKC786461 CTY786432:CTY786461 DDU786432:DDU786461 DNQ786432:DNQ786461 DXM786432:DXM786461 EHI786432:EHI786461 ERE786432:ERE786461 FBA786432:FBA786461 FKW786432:FKW786461 FUS786432:FUS786461 GEO786432:GEO786461 GOK786432:GOK786461 GYG786432:GYG786461 HIC786432:HIC786461 HRY786432:HRY786461 IBU786432:IBU786461 ILQ786432:ILQ786461 IVM786432:IVM786461 JFI786432:JFI786461 JPE786432:JPE786461 JZA786432:JZA786461 KIW786432:KIW786461 KSS786432:KSS786461 LCO786432:LCO786461 LMK786432:LMK786461 LWG786432:LWG786461 MGC786432:MGC786461 MPY786432:MPY786461 MZU786432:MZU786461 NJQ786432:NJQ786461 NTM786432:NTM786461 ODI786432:ODI786461 ONE786432:ONE786461 OXA786432:OXA786461 PGW786432:PGW786461 PQS786432:PQS786461 QAO786432:QAO786461 QKK786432:QKK786461 QUG786432:QUG786461 REC786432:REC786461 RNY786432:RNY786461 RXU786432:RXU786461 SHQ786432:SHQ786461 SRM786432:SRM786461 TBI786432:TBI786461 TLE786432:TLE786461 TVA786432:TVA786461 UEW786432:UEW786461 UOS786432:UOS786461 UYO786432:UYO786461 VIK786432:VIK786461 VSG786432:VSG786461 WCC786432:WCC786461 WLY786432:WLY786461 WVU786432:WVU786461 JI851968:JI851997 TE851968:TE851997 ADA851968:ADA851997 AMW851968:AMW851997 AWS851968:AWS851997 BGO851968:BGO851997 BQK851968:BQK851997 CAG851968:CAG851997 CKC851968:CKC851997 CTY851968:CTY851997 DDU851968:DDU851997 DNQ851968:DNQ851997 DXM851968:DXM851997 EHI851968:EHI851997 ERE851968:ERE851997 FBA851968:FBA851997 FKW851968:FKW851997 FUS851968:FUS851997 GEO851968:GEO851997 GOK851968:GOK851997 GYG851968:GYG851997 HIC851968:HIC851997 HRY851968:HRY851997 IBU851968:IBU851997 ILQ851968:ILQ851997 IVM851968:IVM851997 JFI851968:JFI851997 JPE851968:JPE851997 JZA851968:JZA851997 KIW851968:KIW851997 KSS851968:KSS851997 LCO851968:LCO851997 LMK851968:LMK851997 LWG851968:LWG851997 MGC851968:MGC851997 MPY851968:MPY851997 MZU851968:MZU851997 NJQ851968:NJQ851997 NTM851968:NTM851997 ODI851968:ODI851997 ONE851968:ONE851997 OXA851968:OXA851997 PGW851968:PGW851997 PQS851968:PQS851997 QAO851968:QAO851997 QKK851968:QKK851997 QUG851968:QUG851997 REC851968:REC851997 RNY851968:RNY851997 RXU851968:RXU851997 SHQ851968:SHQ851997 SRM851968:SRM851997 TBI851968:TBI851997 TLE851968:TLE851997 TVA851968:TVA851997 UEW851968:UEW851997 UOS851968:UOS851997 UYO851968:UYO851997 VIK851968:VIK851997 VSG851968:VSG851997 WCC851968:WCC851997 WLY851968:WLY851997 WVU851968:WVU851997 JI917504:JI917533 TE917504:TE917533 ADA917504:ADA917533 AMW917504:AMW917533 AWS917504:AWS917533 BGO917504:BGO917533 BQK917504:BQK917533 CAG917504:CAG917533 CKC917504:CKC917533 CTY917504:CTY917533 DDU917504:DDU917533 DNQ917504:DNQ917533 DXM917504:DXM917533 EHI917504:EHI917533 ERE917504:ERE917533 FBA917504:FBA917533 FKW917504:FKW917533 FUS917504:FUS917533 GEO917504:GEO917533 GOK917504:GOK917533 GYG917504:GYG917533 HIC917504:HIC917533 HRY917504:HRY917533 IBU917504:IBU917533 ILQ917504:ILQ917533 IVM917504:IVM917533 JFI917504:JFI917533 JPE917504:JPE917533 JZA917504:JZA917533 KIW917504:KIW917533 KSS917504:KSS917533 LCO917504:LCO917533 LMK917504:LMK917533 LWG917504:LWG917533 MGC917504:MGC917533 MPY917504:MPY917533 MZU917504:MZU917533 NJQ917504:NJQ917533 NTM917504:NTM917533 ODI917504:ODI917533 ONE917504:ONE917533 OXA917504:OXA917533 PGW917504:PGW917533 PQS917504:PQS917533 QAO917504:QAO917533 QKK917504:QKK917533 QUG917504:QUG917533 REC917504:REC917533 RNY917504:RNY917533 RXU917504:RXU917533 SHQ917504:SHQ917533 SRM917504:SRM917533 TBI917504:TBI917533 TLE917504:TLE917533 TVA917504:TVA917533 UEW917504:UEW917533 UOS917504:UOS917533 UYO917504:UYO917533 VIK917504:VIK917533 VSG917504:VSG917533 WCC917504:WCC917533 WLY917504:WLY917533 WVU917504:WVU917533 JI983040:JI983069 TE983040:TE983069 ADA983040:ADA983069 AMW983040:AMW983069 AWS983040:AWS983069 BGO983040:BGO983069 BQK983040:BQK983069 CAG983040:CAG983069 CKC983040:CKC983069 CTY983040:CTY983069 DDU983040:DDU983069 DNQ983040:DNQ983069 DXM983040:DXM983069 EHI983040:EHI983069 ERE983040:ERE983069 FBA983040:FBA983069 FKW983040:FKW983069 FUS983040:FUS983069 GEO983040:GEO983069 GOK983040:GOK983069 GYG983040:GYG983069 HIC983040:HIC983069 HRY983040:HRY983069 IBU983040:IBU983069 ILQ983040:ILQ983069 IVM983040:IVM983069 JFI983040:JFI983069 JPE983040:JPE983069 JZA983040:JZA983069 KIW983040:KIW983069 KSS983040:KSS983069 LCO983040:LCO983069 LMK983040:LMK983069 LWG983040:LWG983069 MGC983040:MGC983069 MPY983040:MPY983069 MZU983040:MZU983069 NJQ983040:NJQ983069 NTM983040:NTM983069 ODI983040:ODI983069 ONE983040:ONE983069 OXA983040:OXA983069 PGW983040:PGW983069 PQS983040:PQS983069 QAO983040:QAO983069 QKK983040:QKK983069 QUG983040:QUG983069 REC983040:REC983069 RNY983040:RNY983069 RXU983040:RXU983069 SHQ983040:SHQ983069 SRM983040:SRM983069 TBI983040:TBI983069 TLE983040:TLE983069 TVA983040:TVA983069 UEW983040:UEW983069 UOS983040:UOS983069 UYO983040:UYO983069 VIK983040:VIK983069 VSG983040:VSG983069 WCC983040:WCC983069 WLY983040:WLY983069 S26 T25:T29 U25:U26 S28:S29 U28:U29 TA6:TA29 ACW6:ACW29 AMS6:AMS29 AWO6:AWO29 BGK6:BGK29 BQG6:BQG29 CAC6:CAC29 CJY6:CJY29 CTU6:CTU29 DDQ6:DDQ29 DNM6:DNM29 DXI6:DXI29 EHE6:EHE29 ERA6:ERA29 FAW6:FAW29 FKS6:FKS29 FUO6:FUO29 GEK6:GEK29 GOG6:GOG29 GYC6:GYC29 HHY6:HHY29 HRU6:HRU29 IBQ6:IBQ29 ILM6:ILM29 IVI6:IVI29 JFE6:JFE29 JPA6:JPA29 JYW6:JYW29 KIS6:KIS29 KSO6:KSO29 LCK6:LCK29 LMG6:LMG29 LWC6:LWC29 MFY6:MFY29 MPU6:MPU29 MZQ6:MZQ29 NJM6:NJM29 NTI6:NTI29 ODE6:ODE29 ONA6:ONA29 OWW6:OWW29 PGS6:PGS29 PQO6:PQO29 QAK6:QAK29 QKG6:QKG29 QUC6:QUC29 RDY6:RDY29 RNU6:RNU29 RXQ6:RXQ29 SHM6:SHM29 SRI6:SRI29 TBE6:TBE29 TLA6:TLA29 TUW6:TUW29 UES6:UES29 UOO6:UOO29 UYK6:UYK29 VIG6:VIG29 VSC6:VSC29 WBY6:WBY29 WLU6:WLU29 WVQ6:WVQ29 JE6:JE29" xr:uid="{CE7D59A6-5205-417F-AFDE-F860C4D4BFA3}">
      <formula1>"สมเด็จ, มานพ, นิคม, คลองเตย,"</formula1>
    </dataValidation>
    <dataValidation type="list" allowBlank="1" showInputMessage="1" showErrorMessage="1" sqref="WVC983036 IM2 SI2 ACE2 AMA2 AVW2 BFS2 BPO2 BZK2 CJG2 CTC2 DCY2 DMU2 DWQ2 EGM2 EQI2 FAE2 FKA2 FTW2 GDS2 GNO2 GXK2 HHG2 HRC2 IAY2 IKU2 IUQ2 JEM2 JOI2 JYE2 KIA2 KRW2 LBS2 LLO2 LVK2 MFG2 MPC2 MYY2 NIU2 NSQ2 OCM2 OMI2 OWE2 PGA2 PPW2 PZS2 QJO2 QTK2 RDG2 RNC2 RWY2 SGU2 SQQ2 TAM2 TKI2 TUE2 UEA2 UNW2 UXS2 VHO2 VRK2 WBG2 WLC2 WUY2 A65532:B65532 IQ65532 SM65532 ACI65532 AME65532 AWA65532 BFW65532 BPS65532 BZO65532 CJK65532 CTG65532 DDC65532 DMY65532 DWU65532 EGQ65532 EQM65532 FAI65532 FKE65532 FUA65532 GDW65532 GNS65532 GXO65532 HHK65532 HRG65532 IBC65532 IKY65532 IUU65532 JEQ65532 JOM65532 JYI65532 KIE65532 KSA65532 LBW65532 LLS65532 LVO65532 MFK65532 MPG65532 MZC65532 NIY65532 NSU65532 OCQ65532 OMM65532 OWI65532 PGE65532 PQA65532 PZW65532 QJS65532 QTO65532 RDK65532 RNG65532 RXC65532 SGY65532 SQU65532 TAQ65532 TKM65532 TUI65532 UEE65532 UOA65532 UXW65532 VHS65532 VRO65532 WBK65532 WLG65532 WVC65532 A131068:B131068 IQ131068 SM131068 ACI131068 AME131068 AWA131068 BFW131068 BPS131068 BZO131068 CJK131068 CTG131068 DDC131068 DMY131068 DWU131068 EGQ131068 EQM131068 FAI131068 FKE131068 FUA131068 GDW131068 GNS131068 GXO131068 HHK131068 HRG131068 IBC131068 IKY131068 IUU131068 JEQ131068 JOM131068 JYI131068 KIE131068 KSA131068 LBW131068 LLS131068 LVO131068 MFK131068 MPG131068 MZC131068 NIY131068 NSU131068 OCQ131068 OMM131068 OWI131068 PGE131068 PQA131068 PZW131068 QJS131068 QTO131068 RDK131068 RNG131068 RXC131068 SGY131068 SQU131068 TAQ131068 TKM131068 TUI131068 UEE131068 UOA131068 UXW131068 VHS131068 VRO131068 WBK131068 WLG131068 WVC131068 A196604:B196604 IQ196604 SM196604 ACI196604 AME196604 AWA196604 BFW196604 BPS196604 BZO196604 CJK196604 CTG196604 DDC196604 DMY196604 DWU196604 EGQ196604 EQM196604 FAI196604 FKE196604 FUA196604 GDW196604 GNS196604 GXO196604 HHK196604 HRG196604 IBC196604 IKY196604 IUU196604 JEQ196604 JOM196604 JYI196604 KIE196604 KSA196604 LBW196604 LLS196604 LVO196604 MFK196604 MPG196604 MZC196604 NIY196604 NSU196604 OCQ196604 OMM196604 OWI196604 PGE196604 PQA196604 PZW196604 QJS196604 QTO196604 RDK196604 RNG196604 RXC196604 SGY196604 SQU196604 TAQ196604 TKM196604 TUI196604 UEE196604 UOA196604 UXW196604 VHS196604 VRO196604 WBK196604 WLG196604 WVC196604 A262140:B262140 IQ262140 SM262140 ACI262140 AME262140 AWA262140 BFW262140 BPS262140 BZO262140 CJK262140 CTG262140 DDC262140 DMY262140 DWU262140 EGQ262140 EQM262140 FAI262140 FKE262140 FUA262140 GDW262140 GNS262140 GXO262140 HHK262140 HRG262140 IBC262140 IKY262140 IUU262140 JEQ262140 JOM262140 JYI262140 KIE262140 KSA262140 LBW262140 LLS262140 LVO262140 MFK262140 MPG262140 MZC262140 NIY262140 NSU262140 OCQ262140 OMM262140 OWI262140 PGE262140 PQA262140 PZW262140 QJS262140 QTO262140 RDK262140 RNG262140 RXC262140 SGY262140 SQU262140 TAQ262140 TKM262140 TUI262140 UEE262140 UOA262140 UXW262140 VHS262140 VRO262140 WBK262140 WLG262140 WVC262140 A327676:B327676 IQ327676 SM327676 ACI327676 AME327676 AWA327676 BFW327676 BPS327676 BZO327676 CJK327676 CTG327676 DDC327676 DMY327676 DWU327676 EGQ327676 EQM327676 FAI327676 FKE327676 FUA327676 GDW327676 GNS327676 GXO327676 HHK327676 HRG327676 IBC327676 IKY327676 IUU327676 JEQ327676 JOM327676 JYI327676 KIE327676 KSA327676 LBW327676 LLS327676 LVO327676 MFK327676 MPG327676 MZC327676 NIY327676 NSU327676 OCQ327676 OMM327676 OWI327676 PGE327676 PQA327676 PZW327676 QJS327676 QTO327676 RDK327676 RNG327676 RXC327676 SGY327676 SQU327676 TAQ327676 TKM327676 TUI327676 UEE327676 UOA327676 UXW327676 VHS327676 VRO327676 WBK327676 WLG327676 WVC327676 A393212:B393212 IQ393212 SM393212 ACI393212 AME393212 AWA393212 BFW393212 BPS393212 BZO393212 CJK393212 CTG393212 DDC393212 DMY393212 DWU393212 EGQ393212 EQM393212 FAI393212 FKE393212 FUA393212 GDW393212 GNS393212 GXO393212 HHK393212 HRG393212 IBC393212 IKY393212 IUU393212 JEQ393212 JOM393212 JYI393212 KIE393212 KSA393212 LBW393212 LLS393212 LVO393212 MFK393212 MPG393212 MZC393212 NIY393212 NSU393212 OCQ393212 OMM393212 OWI393212 PGE393212 PQA393212 PZW393212 QJS393212 QTO393212 RDK393212 RNG393212 RXC393212 SGY393212 SQU393212 TAQ393212 TKM393212 TUI393212 UEE393212 UOA393212 UXW393212 VHS393212 VRO393212 WBK393212 WLG393212 WVC393212 A458748:B458748 IQ458748 SM458748 ACI458748 AME458748 AWA458748 BFW458748 BPS458748 BZO458748 CJK458748 CTG458748 DDC458748 DMY458748 DWU458748 EGQ458748 EQM458748 FAI458748 FKE458748 FUA458748 GDW458748 GNS458748 GXO458748 HHK458748 HRG458748 IBC458748 IKY458748 IUU458748 JEQ458748 JOM458748 JYI458748 KIE458748 KSA458748 LBW458748 LLS458748 LVO458748 MFK458748 MPG458748 MZC458748 NIY458748 NSU458748 OCQ458748 OMM458748 OWI458748 PGE458748 PQA458748 PZW458748 QJS458748 QTO458748 RDK458748 RNG458748 RXC458748 SGY458748 SQU458748 TAQ458748 TKM458748 TUI458748 UEE458748 UOA458748 UXW458748 VHS458748 VRO458748 WBK458748 WLG458748 WVC458748 A524284:B524284 IQ524284 SM524284 ACI524284 AME524284 AWA524284 BFW524284 BPS524284 BZO524284 CJK524284 CTG524284 DDC524284 DMY524284 DWU524284 EGQ524284 EQM524284 FAI524284 FKE524284 FUA524284 GDW524284 GNS524284 GXO524284 HHK524284 HRG524284 IBC524284 IKY524284 IUU524284 JEQ524284 JOM524284 JYI524284 KIE524284 KSA524284 LBW524284 LLS524284 LVO524284 MFK524284 MPG524284 MZC524284 NIY524284 NSU524284 OCQ524284 OMM524284 OWI524284 PGE524284 PQA524284 PZW524284 QJS524284 QTO524284 RDK524284 RNG524284 RXC524284 SGY524284 SQU524284 TAQ524284 TKM524284 TUI524284 UEE524284 UOA524284 UXW524284 VHS524284 VRO524284 WBK524284 WLG524284 WVC524284 A589820:B589820 IQ589820 SM589820 ACI589820 AME589820 AWA589820 BFW589820 BPS589820 BZO589820 CJK589820 CTG589820 DDC589820 DMY589820 DWU589820 EGQ589820 EQM589820 FAI589820 FKE589820 FUA589820 GDW589820 GNS589820 GXO589820 HHK589820 HRG589820 IBC589820 IKY589820 IUU589820 JEQ589820 JOM589820 JYI589820 KIE589820 KSA589820 LBW589820 LLS589820 LVO589820 MFK589820 MPG589820 MZC589820 NIY589820 NSU589820 OCQ589820 OMM589820 OWI589820 PGE589820 PQA589820 PZW589820 QJS589820 QTO589820 RDK589820 RNG589820 RXC589820 SGY589820 SQU589820 TAQ589820 TKM589820 TUI589820 UEE589820 UOA589820 UXW589820 VHS589820 VRO589820 WBK589820 WLG589820 WVC589820 A655356:B655356 IQ655356 SM655356 ACI655356 AME655356 AWA655356 BFW655356 BPS655356 BZO655356 CJK655356 CTG655356 DDC655356 DMY655356 DWU655356 EGQ655356 EQM655356 FAI655356 FKE655356 FUA655356 GDW655356 GNS655356 GXO655356 HHK655356 HRG655356 IBC655356 IKY655356 IUU655356 JEQ655356 JOM655356 JYI655356 KIE655356 KSA655356 LBW655356 LLS655356 LVO655356 MFK655356 MPG655356 MZC655356 NIY655356 NSU655356 OCQ655356 OMM655356 OWI655356 PGE655356 PQA655356 PZW655356 QJS655356 QTO655356 RDK655356 RNG655356 RXC655356 SGY655356 SQU655356 TAQ655356 TKM655356 TUI655356 UEE655356 UOA655356 UXW655356 VHS655356 VRO655356 WBK655356 WLG655356 WVC655356 A720892:B720892 IQ720892 SM720892 ACI720892 AME720892 AWA720892 BFW720892 BPS720892 BZO720892 CJK720892 CTG720892 DDC720892 DMY720892 DWU720892 EGQ720892 EQM720892 FAI720892 FKE720892 FUA720892 GDW720892 GNS720892 GXO720892 HHK720892 HRG720892 IBC720892 IKY720892 IUU720892 JEQ720892 JOM720892 JYI720892 KIE720892 KSA720892 LBW720892 LLS720892 LVO720892 MFK720892 MPG720892 MZC720892 NIY720892 NSU720892 OCQ720892 OMM720892 OWI720892 PGE720892 PQA720892 PZW720892 QJS720892 QTO720892 RDK720892 RNG720892 RXC720892 SGY720892 SQU720892 TAQ720892 TKM720892 TUI720892 UEE720892 UOA720892 UXW720892 VHS720892 VRO720892 WBK720892 WLG720892 WVC720892 A786428:B786428 IQ786428 SM786428 ACI786428 AME786428 AWA786428 BFW786428 BPS786428 BZO786428 CJK786428 CTG786428 DDC786428 DMY786428 DWU786428 EGQ786428 EQM786428 FAI786428 FKE786428 FUA786428 GDW786428 GNS786428 GXO786428 HHK786428 HRG786428 IBC786428 IKY786428 IUU786428 JEQ786428 JOM786428 JYI786428 KIE786428 KSA786428 LBW786428 LLS786428 LVO786428 MFK786428 MPG786428 MZC786428 NIY786428 NSU786428 OCQ786428 OMM786428 OWI786428 PGE786428 PQA786428 PZW786428 QJS786428 QTO786428 RDK786428 RNG786428 RXC786428 SGY786428 SQU786428 TAQ786428 TKM786428 TUI786428 UEE786428 UOA786428 UXW786428 VHS786428 VRO786428 WBK786428 WLG786428 WVC786428 A851964:B851964 IQ851964 SM851964 ACI851964 AME851964 AWA851964 BFW851964 BPS851964 BZO851964 CJK851964 CTG851964 DDC851964 DMY851964 DWU851964 EGQ851964 EQM851964 FAI851964 FKE851964 FUA851964 GDW851964 GNS851964 GXO851964 HHK851964 HRG851964 IBC851964 IKY851964 IUU851964 JEQ851964 JOM851964 JYI851964 KIE851964 KSA851964 LBW851964 LLS851964 LVO851964 MFK851964 MPG851964 MZC851964 NIY851964 NSU851964 OCQ851964 OMM851964 OWI851964 PGE851964 PQA851964 PZW851964 QJS851964 QTO851964 RDK851964 RNG851964 RXC851964 SGY851964 SQU851964 TAQ851964 TKM851964 TUI851964 UEE851964 UOA851964 UXW851964 VHS851964 VRO851964 WBK851964 WLG851964 WVC851964 A917500:B917500 IQ917500 SM917500 ACI917500 AME917500 AWA917500 BFW917500 BPS917500 BZO917500 CJK917500 CTG917500 DDC917500 DMY917500 DWU917500 EGQ917500 EQM917500 FAI917500 FKE917500 FUA917500 GDW917500 GNS917500 GXO917500 HHK917500 HRG917500 IBC917500 IKY917500 IUU917500 JEQ917500 JOM917500 JYI917500 KIE917500 KSA917500 LBW917500 LLS917500 LVO917500 MFK917500 MPG917500 MZC917500 NIY917500 NSU917500 OCQ917500 OMM917500 OWI917500 PGE917500 PQA917500 PZW917500 QJS917500 QTO917500 RDK917500 RNG917500 RXC917500 SGY917500 SQU917500 TAQ917500 TKM917500 TUI917500 UEE917500 UOA917500 UXW917500 VHS917500 VRO917500 WBK917500 WLG917500 WVC917500 A983036:B983036 IQ983036 SM983036 ACI983036 AME983036 AWA983036 BFW983036 BPS983036 BZO983036 CJK983036 CTG983036 DDC983036 DMY983036 DWU983036 EGQ983036 EQM983036 FAI983036 FKE983036 FUA983036 GDW983036 GNS983036 GXO983036 HHK983036 HRG983036 IBC983036 IKY983036 IUU983036 JEQ983036 JOM983036 JYI983036 KIE983036 KSA983036 LBW983036 LLS983036 LVO983036 MFK983036 MPG983036 MZC983036 NIY983036 NSU983036 OCQ983036 OMM983036 OWI983036 PGE983036 PQA983036 PZW983036 QJS983036 QTO983036 RDK983036 RNG983036 RXC983036 SGY983036 SQU983036 TAQ983036 TKM983036 TUI983036 UEE983036 UOA983036 UXW983036 VHS983036 VRO983036 WBK983036 WLG983036 A2" xr:uid="{A20D6ADE-EFBA-4BF1-A4AA-7A30E4FF42CF}">
      <formula1>"ประจำเดือน มกราคม,ประจำเดือน กุมภาพันธ์,ประจำเดือน มีนาคม,ประจำเดือน เมษายน,ประจำเดือน พฤษภาคม,ประจำเดือน มิถุนายน,ประจำเดือน กรกฏาคม,ประจำเดือน สิงหาคม,ประจำเดือน กันยายน,ประจำเดือน ตุลาคม,ประจำเดือน พฤศจิกายน,ประจำเดือน ธันวาคม"</formula1>
    </dataValidation>
  </dataValidations>
  <printOptions horizontalCentered="1"/>
  <pageMargins left="0.23622047244094491" right="0.11811023622047245" top="0.39370078740157483" bottom="0.23622047244094491" header="0.39370078740157483" footer="0.31496062992125984"/>
  <pageSetup paperSize="9" scale="34" orientation="landscape" r:id="rId1"/>
  <headerFooter alignWithMargins="0"/>
  <ignoredErrors>
    <ignoredError sqref="L7:L8 M7:M8 M6 L6 Q7:Q8 L15:M17" unlockedFormula="1"/>
  </ignoredErrors>
  <tableParts count="1">
    <tablePart r:id="rId2"/>
  </tableParts>
  <extLst>
    <ext xmlns:x14="http://schemas.microsoft.com/office/spreadsheetml/2009/9/main" uri="{CCE6A557-97BC-4b89-ADB6-D9C93CAAB3DF}">
      <x14:dataValidations xmlns:xm="http://schemas.microsoft.com/office/excel/2006/main" count="2">
        <x14:dataValidation type="list" allowBlank="1" showInputMessage="1" showErrorMessage="1" xr:uid="{A4BCCE3B-5B14-4FDA-82E7-7220D14035D6}">
          <x14:formula1>
            <xm:f>Ref!$B$2:$B$18</xm:f>
          </x14:formula1>
          <xm:sqref>D6 D27 D15 D18 D21 D24 D9 D12</xm:sqref>
        </x14:dataValidation>
        <x14:dataValidation type="list" allowBlank="1" showInputMessage="1" showErrorMessage="1" xr:uid="{E5CAC25B-5580-4F9A-835D-46D5288DD975}">
          <x14:formula1>
            <xm:f>Ref!$C$2:$C$16</xm:f>
          </x14:formula1>
          <xm:sqref>E6 E21 E18 E12 E24 E27 E9 E15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7C4B91-2758-48E3-91D9-7474526349FA}">
  <sheetPr codeName="Sheet5">
    <tabColor rgb="FF92D050"/>
    <pageSetUpPr fitToPage="1"/>
  </sheetPr>
  <dimension ref="A1:WVY295"/>
  <sheetViews>
    <sheetView topLeftCell="A49" zoomScale="80" zoomScaleNormal="80" workbookViewId="0">
      <selection activeCell="G22" sqref="G22"/>
    </sheetView>
  </sheetViews>
  <sheetFormatPr defaultColWidth="0" defaultRowHeight="0" customHeight="1" zeroHeight="1"/>
  <cols>
    <col min="1" max="1" width="6.88671875" style="58" customWidth="1"/>
    <col min="2" max="2" width="20.77734375" style="58" customWidth="1"/>
    <col min="3" max="3" width="23.6640625" style="58" bestFit="1" customWidth="1"/>
    <col min="4" max="4" width="31.77734375" style="58" customWidth="1"/>
    <col min="5" max="5" width="16.109375" style="67" bestFit="1" customWidth="1"/>
    <col min="6" max="6" width="14.109375" style="67" customWidth="1"/>
    <col min="7" max="7" width="16.5546875" style="67" bestFit="1" customWidth="1"/>
    <col min="8" max="8" width="14.5546875" style="67" customWidth="1"/>
    <col min="9" max="9" width="15" style="67" customWidth="1"/>
    <col min="10" max="10" width="16.6640625" style="67" customWidth="1"/>
    <col min="11" max="11" width="17.88671875" style="58" bestFit="1" customWidth="1"/>
    <col min="12" max="12" width="11.77734375" style="58" customWidth="1"/>
    <col min="13" max="13" width="17.77734375" style="58" customWidth="1"/>
    <col min="14" max="16" width="8" style="58" customWidth="1"/>
    <col min="17" max="256" width="9.109375" style="58" hidden="1"/>
    <col min="257" max="257" width="6.88671875" style="58" customWidth="1"/>
    <col min="258" max="258" width="23.33203125" style="58" customWidth="1"/>
    <col min="259" max="259" width="42.88671875" style="58" customWidth="1"/>
    <col min="260" max="260" width="14" style="58" customWidth="1"/>
    <col min="261" max="261" width="14.109375" style="58" customWidth="1"/>
    <col min="262" max="262" width="13" style="58" customWidth="1"/>
    <col min="263" max="263" width="14" style="58" customWidth="1"/>
    <col min="264" max="264" width="15" style="58" customWidth="1"/>
    <col min="265" max="265" width="15.21875" style="58" customWidth="1"/>
    <col min="266" max="266" width="1.88671875" style="58" customWidth="1"/>
    <col min="267" max="267" width="10.5546875" style="58" customWidth="1"/>
    <col min="268" max="272" width="8" style="58" customWidth="1"/>
    <col min="273" max="512" width="9.109375" style="58" hidden="1"/>
    <col min="513" max="513" width="6.88671875" style="58" customWidth="1"/>
    <col min="514" max="514" width="23.33203125" style="58" customWidth="1"/>
    <col min="515" max="515" width="42.88671875" style="58" customWidth="1"/>
    <col min="516" max="516" width="14" style="58" customWidth="1"/>
    <col min="517" max="517" width="14.109375" style="58" customWidth="1"/>
    <col min="518" max="518" width="13" style="58" customWidth="1"/>
    <col min="519" max="519" width="14" style="58" customWidth="1"/>
    <col min="520" max="520" width="15" style="58" customWidth="1"/>
    <col min="521" max="521" width="15.21875" style="58" customWidth="1"/>
    <col min="522" max="522" width="1.88671875" style="58" customWidth="1"/>
    <col min="523" max="523" width="10.5546875" style="58" customWidth="1"/>
    <col min="524" max="528" width="8" style="58" customWidth="1"/>
    <col min="529" max="768" width="9.109375" style="58" hidden="1"/>
    <col min="769" max="769" width="6.88671875" style="58" customWidth="1"/>
    <col min="770" max="770" width="23.33203125" style="58" customWidth="1"/>
    <col min="771" max="771" width="42.88671875" style="58" customWidth="1"/>
    <col min="772" max="772" width="14" style="58" customWidth="1"/>
    <col min="773" max="773" width="14.109375" style="58" customWidth="1"/>
    <col min="774" max="774" width="13" style="58" customWidth="1"/>
    <col min="775" max="775" width="14" style="58" customWidth="1"/>
    <col min="776" max="776" width="15" style="58" customWidth="1"/>
    <col min="777" max="777" width="15.21875" style="58" customWidth="1"/>
    <col min="778" max="778" width="1.88671875" style="58" customWidth="1"/>
    <col min="779" max="779" width="10.5546875" style="58" customWidth="1"/>
    <col min="780" max="784" width="8" style="58" customWidth="1"/>
    <col min="785" max="1024" width="9.109375" style="58" hidden="1"/>
    <col min="1025" max="1025" width="6.88671875" style="58" customWidth="1"/>
    <col min="1026" max="1026" width="23.33203125" style="58" customWidth="1"/>
    <col min="1027" max="1027" width="42.88671875" style="58" customWidth="1"/>
    <col min="1028" max="1028" width="14" style="58" customWidth="1"/>
    <col min="1029" max="1029" width="14.109375" style="58" customWidth="1"/>
    <col min="1030" max="1030" width="13" style="58" customWidth="1"/>
    <col min="1031" max="1031" width="14" style="58" customWidth="1"/>
    <col min="1032" max="1032" width="15" style="58" customWidth="1"/>
    <col min="1033" max="1033" width="15.21875" style="58" customWidth="1"/>
    <col min="1034" max="1034" width="1.88671875" style="58" customWidth="1"/>
    <col min="1035" max="1035" width="10.5546875" style="58" customWidth="1"/>
    <col min="1036" max="1040" width="8" style="58" customWidth="1"/>
    <col min="1041" max="1280" width="9.109375" style="58" hidden="1"/>
    <col min="1281" max="1281" width="6.88671875" style="58" customWidth="1"/>
    <col min="1282" max="1282" width="23.33203125" style="58" customWidth="1"/>
    <col min="1283" max="1283" width="42.88671875" style="58" customWidth="1"/>
    <col min="1284" max="1284" width="14" style="58" customWidth="1"/>
    <col min="1285" max="1285" width="14.109375" style="58" customWidth="1"/>
    <col min="1286" max="1286" width="13" style="58" customWidth="1"/>
    <col min="1287" max="1287" width="14" style="58" customWidth="1"/>
    <col min="1288" max="1288" width="15" style="58" customWidth="1"/>
    <col min="1289" max="1289" width="15.21875" style="58" customWidth="1"/>
    <col min="1290" max="1290" width="1.88671875" style="58" customWidth="1"/>
    <col min="1291" max="1291" width="10.5546875" style="58" customWidth="1"/>
    <col min="1292" max="1296" width="8" style="58" customWidth="1"/>
    <col min="1297" max="1536" width="9.109375" style="58" hidden="1"/>
    <col min="1537" max="1537" width="6.88671875" style="58" customWidth="1"/>
    <col min="1538" max="1538" width="23.33203125" style="58" customWidth="1"/>
    <col min="1539" max="1539" width="42.88671875" style="58" customWidth="1"/>
    <col min="1540" max="1540" width="14" style="58" customWidth="1"/>
    <col min="1541" max="1541" width="14.109375" style="58" customWidth="1"/>
    <col min="1542" max="1542" width="13" style="58" customWidth="1"/>
    <col min="1543" max="1543" width="14" style="58" customWidth="1"/>
    <col min="1544" max="1544" width="15" style="58" customWidth="1"/>
    <col min="1545" max="1545" width="15.21875" style="58" customWidth="1"/>
    <col min="1546" max="1546" width="1.88671875" style="58" customWidth="1"/>
    <col min="1547" max="1547" width="10.5546875" style="58" customWidth="1"/>
    <col min="1548" max="1552" width="8" style="58" customWidth="1"/>
    <col min="1553" max="1792" width="9.109375" style="58" hidden="1"/>
    <col min="1793" max="1793" width="6.88671875" style="58" customWidth="1"/>
    <col min="1794" max="1794" width="23.33203125" style="58" customWidth="1"/>
    <col min="1795" max="1795" width="42.88671875" style="58" customWidth="1"/>
    <col min="1796" max="1796" width="14" style="58" customWidth="1"/>
    <col min="1797" max="1797" width="14.109375" style="58" customWidth="1"/>
    <col min="1798" max="1798" width="13" style="58" customWidth="1"/>
    <col min="1799" max="1799" width="14" style="58" customWidth="1"/>
    <col min="1800" max="1800" width="15" style="58" customWidth="1"/>
    <col min="1801" max="1801" width="15.21875" style="58" customWidth="1"/>
    <col min="1802" max="1802" width="1.88671875" style="58" customWidth="1"/>
    <col min="1803" max="1803" width="10.5546875" style="58" customWidth="1"/>
    <col min="1804" max="1808" width="8" style="58" customWidth="1"/>
    <col min="1809" max="2048" width="9.109375" style="58" hidden="1"/>
    <col min="2049" max="2049" width="6.88671875" style="58" customWidth="1"/>
    <col min="2050" max="2050" width="23.33203125" style="58" customWidth="1"/>
    <col min="2051" max="2051" width="42.88671875" style="58" customWidth="1"/>
    <col min="2052" max="2052" width="14" style="58" customWidth="1"/>
    <col min="2053" max="2053" width="14.109375" style="58" customWidth="1"/>
    <col min="2054" max="2054" width="13" style="58" customWidth="1"/>
    <col min="2055" max="2055" width="14" style="58" customWidth="1"/>
    <col min="2056" max="2056" width="15" style="58" customWidth="1"/>
    <col min="2057" max="2057" width="15.21875" style="58" customWidth="1"/>
    <col min="2058" max="2058" width="1.88671875" style="58" customWidth="1"/>
    <col min="2059" max="2059" width="10.5546875" style="58" customWidth="1"/>
    <col min="2060" max="2064" width="8" style="58" customWidth="1"/>
    <col min="2065" max="2304" width="9.109375" style="58" hidden="1"/>
    <col min="2305" max="2305" width="6.88671875" style="58" customWidth="1"/>
    <col min="2306" max="2306" width="23.33203125" style="58" customWidth="1"/>
    <col min="2307" max="2307" width="42.88671875" style="58" customWidth="1"/>
    <col min="2308" max="2308" width="14" style="58" customWidth="1"/>
    <col min="2309" max="2309" width="14.109375" style="58" customWidth="1"/>
    <col min="2310" max="2310" width="13" style="58" customWidth="1"/>
    <col min="2311" max="2311" width="14" style="58" customWidth="1"/>
    <col min="2312" max="2312" width="15" style="58" customWidth="1"/>
    <col min="2313" max="2313" width="15.21875" style="58" customWidth="1"/>
    <col min="2314" max="2314" width="1.88671875" style="58" customWidth="1"/>
    <col min="2315" max="2315" width="10.5546875" style="58" customWidth="1"/>
    <col min="2316" max="2320" width="8" style="58" customWidth="1"/>
    <col min="2321" max="2560" width="9.109375" style="58" hidden="1"/>
    <col min="2561" max="2561" width="6.88671875" style="58" customWidth="1"/>
    <col min="2562" max="2562" width="23.33203125" style="58" customWidth="1"/>
    <col min="2563" max="2563" width="42.88671875" style="58" customWidth="1"/>
    <col min="2564" max="2564" width="14" style="58" customWidth="1"/>
    <col min="2565" max="2565" width="14.109375" style="58" customWidth="1"/>
    <col min="2566" max="2566" width="13" style="58" customWidth="1"/>
    <col min="2567" max="2567" width="14" style="58" customWidth="1"/>
    <col min="2568" max="2568" width="15" style="58" customWidth="1"/>
    <col min="2569" max="2569" width="15.21875" style="58" customWidth="1"/>
    <col min="2570" max="2570" width="1.88671875" style="58" customWidth="1"/>
    <col min="2571" max="2571" width="10.5546875" style="58" customWidth="1"/>
    <col min="2572" max="2576" width="8" style="58" customWidth="1"/>
    <col min="2577" max="2816" width="9.109375" style="58" hidden="1"/>
    <col min="2817" max="2817" width="6.88671875" style="58" customWidth="1"/>
    <col min="2818" max="2818" width="23.33203125" style="58" customWidth="1"/>
    <col min="2819" max="2819" width="42.88671875" style="58" customWidth="1"/>
    <col min="2820" max="2820" width="14" style="58" customWidth="1"/>
    <col min="2821" max="2821" width="14.109375" style="58" customWidth="1"/>
    <col min="2822" max="2822" width="13" style="58" customWidth="1"/>
    <col min="2823" max="2823" width="14" style="58" customWidth="1"/>
    <col min="2824" max="2824" width="15" style="58" customWidth="1"/>
    <col min="2825" max="2825" width="15.21875" style="58" customWidth="1"/>
    <col min="2826" max="2826" width="1.88671875" style="58" customWidth="1"/>
    <col min="2827" max="2827" width="10.5546875" style="58" customWidth="1"/>
    <col min="2828" max="2832" width="8" style="58" customWidth="1"/>
    <col min="2833" max="3072" width="9.109375" style="58" hidden="1"/>
    <col min="3073" max="3073" width="6.88671875" style="58" customWidth="1"/>
    <col min="3074" max="3074" width="23.33203125" style="58" customWidth="1"/>
    <col min="3075" max="3075" width="42.88671875" style="58" customWidth="1"/>
    <col min="3076" max="3076" width="14" style="58" customWidth="1"/>
    <col min="3077" max="3077" width="14.109375" style="58" customWidth="1"/>
    <col min="3078" max="3078" width="13" style="58" customWidth="1"/>
    <col min="3079" max="3079" width="14" style="58" customWidth="1"/>
    <col min="3080" max="3080" width="15" style="58" customWidth="1"/>
    <col min="3081" max="3081" width="15.21875" style="58" customWidth="1"/>
    <col min="3082" max="3082" width="1.88671875" style="58" customWidth="1"/>
    <col min="3083" max="3083" width="10.5546875" style="58" customWidth="1"/>
    <col min="3084" max="3088" width="8" style="58" customWidth="1"/>
    <col min="3089" max="3328" width="9.109375" style="58" hidden="1"/>
    <col min="3329" max="3329" width="6.88671875" style="58" customWidth="1"/>
    <col min="3330" max="3330" width="23.33203125" style="58" customWidth="1"/>
    <col min="3331" max="3331" width="42.88671875" style="58" customWidth="1"/>
    <col min="3332" max="3332" width="14" style="58" customWidth="1"/>
    <col min="3333" max="3333" width="14.109375" style="58" customWidth="1"/>
    <col min="3334" max="3334" width="13" style="58" customWidth="1"/>
    <col min="3335" max="3335" width="14" style="58" customWidth="1"/>
    <col min="3336" max="3336" width="15" style="58" customWidth="1"/>
    <col min="3337" max="3337" width="15.21875" style="58" customWidth="1"/>
    <col min="3338" max="3338" width="1.88671875" style="58" customWidth="1"/>
    <col min="3339" max="3339" width="10.5546875" style="58" customWidth="1"/>
    <col min="3340" max="3344" width="8" style="58" customWidth="1"/>
    <col min="3345" max="3584" width="9.109375" style="58" hidden="1"/>
    <col min="3585" max="3585" width="6.88671875" style="58" customWidth="1"/>
    <col min="3586" max="3586" width="23.33203125" style="58" customWidth="1"/>
    <col min="3587" max="3587" width="42.88671875" style="58" customWidth="1"/>
    <col min="3588" max="3588" width="14" style="58" customWidth="1"/>
    <col min="3589" max="3589" width="14.109375" style="58" customWidth="1"/>
    <col min="3590" max="3590" width="13" style="58" customWidth="1"/>
    <col min="3591" max="3591" width="14" style="58" customWidth="1"/>
    <col min="3592" max="3592" width="15" style="58" customWidth="1"/>
    <col min="3593" max="3593" width="15.21875" style="58" customWidth="1"/>
    <col min="3594" max="3594" width="1.88671875" style="58" customWidth="1"/>
    <col min="3595" max="3595" width="10.5546875" style="58" customWidth="1"/>
    <col min="3596" max="3600" width="8" style="58" customWidth="1"/>
    <col min="3601" max="3840" width="9.109375" style="58" hidden="1"/>
    <col min="3841" max="3841" width="6.88671875" style="58" customWidth="1"/>
    <col min="3842" max="3842" width="23.33203125" style="58" customWidth="1"/>
    <col min="3843" max="3843" width="42.88671875" style="58" customWidth="1"/>
    <col min="3844" max="3844" width="14" style="58" customWidth="1"/>
    <col min="3845" max="3845" width="14.109375" style="58" customWidth="1"/>
    <col min="3846" max="3846" width="13" style="58" customWidth="1"/>
    <col min="3847" max="3847" width="14" style="58" customWidth="1"/>
    <col min="3848" max="3848" width="15" style="58" customWidth="1"/>
    <col min="3849" max="3849" width="15.21875" style="58" customWidth="1"/>
    <col min="3850" max="3850" width="1.88671875" style="58" customWidth="1"/>
    <col min="3851" max="3851" width="10.5546875" style="58" customWidth="1"/>
    <col min="3852" max="3856" width="8" style="58" customWidth="1"/>
    <col min="3857" max="4096" width="9.109375" style="58" hidden="1"/>
    <col min="4097" max="4097" width="6.88671875" style="58" customWidth="1"/>
    <col min="4098" max="4098" width="23.33203125" style="58" customWidth="1"/>
    <col min="4099" max="4099" width="42.88671875" style="58" customWidth="1"/>
    <col min="4100" max="4100" width="14" style="58" customWidth="1"/>
    <col min="4101" max="4101" width="14.109375" style="58" customWidth="1"/>
    <col min="4102" max="4102" width="13" style="58" customWidth="1"/>
    <col min="4103" max="4103" width="14" style="58" customWidth="1"/>
    <col min="4104" max="4104" width="15" style="58" customWidth="1"/>
    <col min="4105" max="4105" width="15.21875" style="58" customWidth="1"/>
    <col min="4106" max="4106" width="1.88671875" style="58" customWidth="1"/>
    <col min="4107" max="4107" width="10.5546875" style="58" customWidth="1"/>
    <col min="4108" max="4112" width="8" style="58" customWidth="1"/>
    <col min="4113" max="4352" width="9.109375" style="58" hidden="1"/>
    <col min="4353" max="4353" width="6.88671875" style="58" customWidth="1"/>
    <col min="4354" max="4354" width="23.33203125" style="58" customWidth="1"/>
    <col min="4355" max="4355" width="42.88671875" style="58" customWidth="1"/>
    <col min="4356" max="4356" width="14" style="58" customWidth="1"/>
    <col min="4357" max="4357" width="14.109375" style="58" customWidth="1"/>
    <col min="4358" max="4358" width="13" style="58" customWidth="1"/>
    <col min="4359" max="4359" width="14" style="58" customWidth="1"/>
    <col min="4360" max="4360" width="15" style="58" customWidth="1"/>
    <col min="4361" max="4361" width="15.21875" style="58" customWidth="1"/>
    <col min="4362" max="4362" width="1.88671875" style="58" customWidth="1"/>
    <col min="4363" max="4363" width="10.5546875" style="58" customWidth="1"/>
    <col min="4364" max="4368" width="8" style="58" customWidth="1"/>
    <col min="4369" max="4608" width="9.109375" style="58" hidden="1"/>
    <col min="4609" max="4609" width="6.88671875" style="58" customWidth="1"/>
    <col min="4610" max="4610" width="23.33203125" style="58" customWidth="1"/>
    <col min="4611" max="4611" width="42.88671875" style="58" customWidth="1"/>
    <col min="4612" max="4612" width="14" style="58" customWidth="1"/>
    <col min="4613" max="4613" width="14.109375" style="58" customWidth="1"/>
    <col min="4614" max="4614" width="13" style="58" customWidth="1"/>
    <col min="4615" max="4615" width="14" style="58" customWidth="1"/>
    <col min="4616" max="4616" width="15" style="58" customWidth="1"/>
    <col min="4617" max="4617" width="15.21875" style="58" customWidth="1"/>
    <col min="4618" max="4618" width="1.88671875" style="58" customWidth="1"/>
    <col min="4619" max="4619" width="10.5546875" style="58" customWidth="1"/>
    <col min="4620" max="4624" width="8" style="58" customWidth="1"/>
    <col min="4625" max="4864" width="9.109375" style="58" hidden="1"/>
    <col min="4865" max="4865" width="6.88671875" style="58" customWidth="1"/>
    <col min="4866" max="4866" width="23.33203125" style="58" customWidth="1"/>
    <col min="4867" max="4867" width="42.88671875" style="58" customWidth="1"/>
    <col min="4868" max="4868" width="14" style="58" customWidth="1"/>
    <col min="4869" max="4869" width="14.109375" style="58" customWidth="1"/>
    <col min="4870" max="4870" width="13" style="58" customWidth="1"/>
    <col min="4871" max="4871" width="14" style="58" customWidth="1"/>
    <col min="4872" max="4872" width="15" style="58" customWidth="1"/>
    <col min="4873" max="4873" width="15.21875" style="58" customWidth="1"/>
    <col min="4874" max="4874" width="1.88671875" style="58" customWidth="1"/>
    <col min="4875" max="4875" width="10.5546875" style="58" customWidth="1"/>
    <col min="4876" max="4880" width="8" style="58" customWidth="1"/>
    <col min="4881" max="5120" width="9.109375" style="58" hidden="1"/>
    <col min="5121" max="5121" width="6.88671875" style="58" customWidth="1"/>
    <col min="5122" max="5122" width="23.33203125" style="58" customWidth="1"/>
    <col min="5123" max="5123" width="42.88671875" style="58" customWidth="1"/>
    <col min="5124" max="5124" width="14" style="58" customWidth="1"/>
    <col min="5125" max="5125" width="14.109375" style="58" customWidth="1"/>
    <col min="5126" max="5126" width="13" style="58" customWidth="1"/>
    <col min="5127" max="5127" width="14" style="58" customWidth="1"/>
    <col min="5128" max="5128" width="15" style="58" customWidth="1"/>
    <col min="5129" max="5129" width="15.21875" style="58" customWidth="1"/>
    <col min="5130" max="5130" width="1.88671875" style="58" customWidth="1"/>
    <col min="5131" max="5131" width="10.5546875" style="58" customWidth="1"/>
    <col min="5132" max="5136" width="8" style="58" customWidth="1"/>
    <col min="5137" max="5376" width="9.109375" style="58" hidden="1"/>
    <col min="5377" max="5377" width="6.88671875" style="58" customWidth="1"/>
    <col min="5378" max="5378" width="23.33203125" style="58" customWidth="1"/>
    <col min="5379" max="5379" width="42.88671875" style="58" customWidth="1"/>
    <col min="5380" max="5380" width="14" style="58" customWidth="1"/>
    <col min="5381" max="5381" width="14.109375" style="58" customWidth="1"/>
    <col min="5382" max="5382" width="13" style="58" customWidth="1"/>
    <col min="5383" max="5383" width="14" style="58" customWidth="1"/>
    <col min="5384" max="5384" width="15" style="58" customWidth="1"/>
    <col min="5385" max="5385" width="15.21875" style="58" customWidth="1"/>
    <col min="5386" max="5386" width="1.88671875" style="58" customWidth="1"/>
    <col min="5387" max="5387" width="10.5546875" style="58" customWidth="1"/>
    <col min="5388" max="5392" width="8" style="58" customWidth="1"/>
    <col min="5393" max="5632" width="9.109375" style="58" hidden="1"/>
    <col min="5633" max="5633" width="6.88671875" style="58" customWidth="1"/>
    <col min="5634" max="5634" width="23.33203125" style="58" customWidth="1"/>
    <col min="5635" max="5635" width="42.88671875" style="58" customWidth="1"/>
    <col min="5636" max="5636" width="14" style="58" customWidth="1"/>
    <col min="5637" max="5637" width="14.109375" style="58" customWidth="1"/>
    <col min="5638" max="5638" width="13" style="58" customWidth="1"/>
    <col min="5639" max="5639" width="14" style="58" customWidth="1"/>
    <col min="5640" max="5640" width="15" style="58" customWidth="1"/>
    <col min="5641" max="5641" width="15.21875" style="58" customWidth="1"/>
    <col min="5642" max="5642" width="1.88671875" style="58" customWidth="1"/>
    <col min="5643" max="5643" width="10.5546875" style="58" customWidth="1"/>
    <col min="5644" max="5648" width="8" style="58" customWidth="1"/>
    <col min="5649" max="5888" width="9.109375" style="58" hidden="1"/>
    <col min="5889" max="5889" width="6.88671875" style="58" customWidth="1"/>
    <col min="5890" max="5890" width="23.33203125" style="58" customWidth="1"/>
    <col min="5891" max="5891" width="42.88671875" style="58" customWidth="1"/>
    <col min="5892" max="5892" width="14" style="58" customWidth="1"/>
    <col min="5893" max="5893" width="14.109375" style="58" customWidth="1"/>
    <col min="5894" max="5894" width="13" style="58" customWidth="1"/>
    <col min="5895" max="5895" width="14" style="58" customWidth="1"/>
    <col min="5896" max="5896" width="15" style="58" customWidth="1"/>
    <col min="5897" max="5897" width="15.21875" style="58" customWidth="1"/>
    <col min="5898" max="5898" width="1.88671875" style="58" customWidth="1"/>
    <col min="5899" max="5899" width="10.5546875" style="58" customWidth="1"/>
    <col min="5900" max="5904" width="8" style="58" customWidth="1"/>
    <col min="5905" max="6144" width="9.109375" style="58" hidden="1"/>
    <col min="6145" max="6145" width="6.88671875" style="58" customWidth="1"/>
    <col min="6146" max="6146" width="23.33203125" style="58" customWidth="1"/>
    <col min="6147" max="6147" width="42.88671875" style="58" customWidth="1"/>
    <col min="6148" max="6148" width="14" style="58" customWidth="1"/>
    <col min="6149" max="6149" width="14.109375" style="58" customWidth="1"/>
    <col min="6150" max="6150" width="13" style="58" customWidth="1"/>
    <col min="6151" max="6151" width="14" style="58" customWidth="1"/>
    <col min="6152" max="6152" width="15" style="58" customWidth="1"/>
    <col min="6153" max="6153" width="15.21875" style="58" customWidth="1"/>
    <col min="6154" max="6154" width="1.88671875" style="58" customWidth="1"/>
    <col min="6155" max="6155" width="10.5546875" style="58" customWidth="1"/>
    <col min="6156" max="6160" width="8" style="58" customWidth="1"/>
    <col min="6161" max="6400" width="9.109375" style="58" hidden="1"/>
    <col min="6401" max="6401" width="6.88671875" style="58" customWidth="1"/>
    <col min="6402" max="6402" width="23.33203125" style="58" customWidth="1"/>
    <col min="6403" max="6403" width="42.88671875" style="58" customWidth="1"/>
    <col min="6404" max="6404" width="14" style="58" customWidth="1"/>
    <col min="6405" max="6405" width="14.109375" style="58" customWidth="1"/>
    <col min="6406" max="6406" width="13" style="58" customWidth="1"/>
    <col min="6407" max="6407" width="14" style="58" customWidth="1"/>
    <col min="6408" max="6408" width="15" style="58" customWidth="1"/>
    <col min="6409" max="6409" width="15.21875" style="58" customWidth="1"/>
    <col min="6410" max="6410" width="1.88671875" style="58" customWidth="1"/>
    <col min="6411" max="6411" width="10.5546875" style="58" customWidth="1"/>
    <col min="6412" max="6416" width="8" style="58" customWidth="1"/>
    <col min="6417" max="6656" width="9.109375" style="58" hidden="1"/>
    <col min="6657" max="6657" width="6.88671875" style="58" customWidth="1"/>
    <col min="6658" max="6658" width="23.33203125" style="58" customWidth="1"/>
    <col min="6659" max="6659" width="42.88671875" style="58" customWidth="1"/>
    <col min="6660" max="6660" width="14" style="58" customWidth="1"/>
    <col min="6661" max="6661" width="14.109375" style="58" customWidth="1"/>
    <col min="6662" max="6662" width="13" style="58" customWidth="1"/>
    <col min="6663" max="6663" width="14" style="58" customWidth="1"/>
    <col min="6664" max="6664" width="15" style="58" customWidth="1"/>
    <col min="6665" max="6665" width="15.21875" style="58" customWidth="1"/>
    <col min="6666" max="6666" width="1.88671875" style="58" customWidth="1"/>
    <col min="6667" max="6667" width="10.5546875" style="58" customWidth="1"/>
    <col min="6668" max="6672" width="8" style="58" customWidth="1"/>
    <col min="6673" max="6912" width="9.109375" style="58" hidden="1"/>
    <col min="6913" max="6913" width="6.88671875" style="58" customWidth="1"/>
    <col min="6914" max="6914" width="23.33203125" style="58" customWidth="1"/>
    <col min="6915" max="6915" width="42.88671875" style="58" customWidth="1"/>
    <col min="6916" max="6916" width="14" style="58" customWidth="1"/>
    <col min="6917" max="6917" width="14.109375" style="58" customWidth="1"/>
    <col min="6918" max="6918" width="13" style="58" customWidth="1"/>
    <col min="6919" max="6919" width="14" style="58" customWidth="1"/>
    <col min="6920" max="6920" width="15" style="58" customWidth="1"/>
    <col min="6921" max="6921" width="15.21875" style="58" customWidth="1"/>
    <col min="6922" max="6922" width="1.88671875" style="58" customWidth="1"/>
    <col min="6923" max="6923" width="10.5546875" style="58" customWidth="1"/>
    <col min="6924" max="6928" width="8" style="58" customWidth="1"/>
    <col min="6929" max="7168" width="9.109375" style="58" hidden="1"/>
    <col min="7169" max="7169" width="6.88671875" style="58" customWidth="1"/>
    <col min="7170" max="7170" width="23.33203125" style="58" customWidth="1"/>
    <col min="7171" max="7171" width="42.88671875" style="58" customWidth="1"/>
    <col min="7172" max="7172" width="14" style="58" customWidth="1"/>
    <col min="7173" max="7173" width="14.109375" style="58" customWidth="1"/>
    <col min="7174" max="7174" width="13" style="58" customWidth="1"/>
    <col min="7175" max="7175" width="14" style="58" customWidth="1"/>
    <col min="7176" max="7176" width="15" style="58" customWidth="1"/>
    <col min="7177" max="7177" width="15.21875" style="58" customWidth="1"/>
    <col min="7178" max="7178" width="1.88671875" style="58" customWidth="1"/>
    <col min="7179" max="7179" width="10.5546875" style="58" customWidth="1"/>
    <col min="7180" max="7184" width="8" style="58" customWidth="1"/>
    <col min="7185" max="7424" width="9.109375" style="58" hidden="1"/>
    <col min="7425" max="7425" width="6.88671875" style="58" customWidth="1"/>
    <col min="7426" max="7426" width="23.33203125" style="58" customWidth="1"/>
    <col min="7427" max="7427" width="42.88671875" style="58" customWidth="1"/>
    <col min="7428" max="7428" width="14" style="58" customWidth="1"/>
    <col min="7429" max="7429" width="14.109375" style="58" customWidth="1"/>
    <col min="7430" max="7430" width="13" style="58" customWidth="1"/>
    <col min="7431" max="7431" width="14" style="58" customWidth="1"/>
    <col min="7432" max="7432" width="15" style="58" customWidth="1"/>
    <col min="7433" max="7433" width="15.21875" style="58" customWidth="1"/>
    <col min="7434" max="7434" width="1.88671875" style="58" customWidth="1"/>
    <col min="7435" max="7435" width="10.5546875" style="58" customWidth="1"/>
    <col min="7436" max="7440" width="8" style="58" customWidth="1"/>
    <col min="7441" max="7680" width="9.109375" style="58" hidden="1"/>
    <col min="7681" max="7681" width="6.88671875" style="58" customWidth="1"/>
    <col min="7682" max="7682" width="23.33203125" style="58" customWidth="1"/>
    <col min="7683" max="7683" width="42.88671875" style="58" customWidth="1"/>
    <col min="7684" max="7684" width="14" style="58" customWidth="1"/>
    <col min="7685" max="7685" width="14.109375" style="58" customWidth="1"/>
    <col min="7686" max="7686" width="13" style="58" customWidth="1"/>
    <col min="7687" max="7687" width="14" style="58" customWidth="1"/>
    <col min="7688" max="7688" width="15" style="58" customWidth="1"/>
    <col min="7689" max="7689" width="15.21875" style="58" customWidth="1"/>
    <col min="7690" max="7690" width="1.88671875" style="58" customWidth="1"/>
    <col min="7691" max="7691" width="10.5546875" style="58" customWidth="1"/>
    <col min="7692" max="7696" width="8" style="58" customWidth="1"/>
    <col min="7697" max="7936" width="9.109375" style="58" hidden="1"/>
    <col min="7937" max="7937" width="6.88671875" style="58" customWidth="1"/>
    <col min="7938" max="7938" width="23.33203125" style="58" customWidth="1"/>
    <col min="7939" max="7939" width="42.88671875" style="58" customWidth="1"/>
    <col min="7940" max="7940" width="14" style="58" customWidth="1"/>
    <col min="7941" max="7941" width="14.109375" style="58" customWidth="1"/>
    <col min="7942" max="7942" width="13" style="58" customWidth="1"/>
    <col min="7943" max="7943" width="14" style="58" customWidth="1"/>
    <col min="7944" max="7944" width="15" style="58" customWidth="1"/>
    <col min="7945" max="7945" width="15.21875" style="58" customWidth="1"/>
    <col min="7946" max="7946" width="1.88671875" style="58" customWidth="1"/>
    <col min="7947" max="7947" width="10.5546875" style="58" customWidth="1"/>
    <col min="7948" max="7952" width="8" style="58" customWidth="1"/>
    <col min="7953" max="8192" width="9.109375" style="58" hidden="1"/>
    <col min="8193" max="8193" width="6.88671875" style="58" customWidth="1"/>
    <col min="8194" max="8194" width="23.33203125" style="58" customWidth="1"/>
    <col min="8195" max="8195" width="42.88671875" style="58" customWidth="1"/>
    <col min="8196" max="8196" width="14" style="58" customWidth="1"/>
    <col min="8197" max="8197" width="14.109375" style="58" customWidth="1"/>
    <col min="8198" max="8198" width="13" style="58" customWidth="1"/>
    <col min="8199" max="8199" width="14" style="58" customWidth="1"/>
    <col min="8200" max="8200" width="15" style="58" customWidth="1"/>
    <col min="8201" max="8201" width="15.21875" style="58" customWidth="1"/>
    <col min="8202" max="8202" width="1.88671875" style="58" customWidth="1"/>
    <col min="8203" max="8203" width="10.5546875" style="58" customWidth="1"/>
    <col min="8204" max="8208" width="8" style="58" customWidth="1"/>
    <col min="8209" max="8448" width="9.109375" style="58" hidden="1"/>
    <col min="8449" max="8449" width="6.88671875" style="58" customWidth="1"/>
    <col min="8450" max="8450" width="23.33203125" style="58" customWidth="1"/>
    <col min="8451" max="8451" width="42.88671875" style="58" customWidth="1"/>
    <col min="8452" max="8452" width="14" style="58" customWidth="1"/>
    <col min="8453" max="8453" width="14.109375" style="58" customWidth="1"/>
    <col min="8454" max="8454" width="13" style="58" customWidth="1"/>
    <col min="8455" max="8455" width="14" style="58" customWidth="1"/>
    <col min="8456" max="8456" width="15" style="58" customWidth="1"/>
    <col min="8457" max="8457" width="15.21875" style="58" customWidth="1"/>
    <col min="8458" max="8458" width="1.88671875" style="58" customWidth="1"/>
    <col min="8459" max="8459" width="10.5546875" style="58" customWidth="1"/>
    <col min="8460" max="8464" width="8" style="58" customWidth="1"/>
    <col min="8465" max="8704" width="9.109375" style="58" hidden="1"/>
    <col min="8705" max="8705" width="6.88671875" style="58" customWidth="1"/>
    <col min="8706" max="8706" width="23.33203125" style="58" customWidth="1"/>
    <col min="8707" max="8707" width="42.88671875" style="58" customWidth="1"/>
    <col min="8708" max="8708" width="14" style="58" customWidth="1"/>
    <col min="8709" max="8709" width="14.109375" style="58" customWidth="1"/>
    <col min="8710" max="8710" width="13" style="58" customWidth="1"/>
    <col min="8711" max="8711" width="14" style="58" customWidth="1"/>
    <col min="8712" max="8712" width="15" style="58" customWidth="1"/>
    <col min="8713" max="8713" width="15.21875" style="58" customWidth="1"/>
    <col min="8714" max="8714" width="1.88671875" style="58" customWidth="1"/>
    <col min="8715" max="8715" width="10.5546875" style="58" customWidth="1"/>
    <col min="8716" max="8720" width="8" style="58" customWidth="1"/>
    <col min="8721" max="8960" width="9.109375" style="58" hidden="1"/>
    <col min="8961" max="8961" width="6.88671875" style="58" customWidth="1"/>
    <col min="8962" max="8962" width="23.33203125" style="58" customWidth="1"/>
    <col min="8963" max="8963" width="42.88671875" style="58" customWidth="1"/>
    <col min="8964" max="8964" width="14" style="58" customWidth="1"/>
    <col min="8965" max="8965" width="14.109375" style="58" customWidth="1"/>
    <col min="8966" max="8966" width="13" style="58" customWidth="1"/>
    <col min="8967" max="8967" width="14" style="58" customWidth="1"/>
    <col min="8968" max="8968" width="15" style="58" customWidth="1"/>
    <col min="8969" max="8969" width="15.21875" style="58" customWidth="1"/>
    <col min="8970" max="8970" width="1.88671875" style="58" customWidth="1"/>
    <col min="8971" max="8971" width="10.5546875" style="58" customWidth="1"/>
    <col min="8972" max="8976" width="8" style="58" customWidth="1"/>
    <col min="8977" max="9216" width="9.109375" style="58" hidden="1"/>
    <col min="9217" max="9217" width="6.88671875" style="58" customWidth="1"/>
    <col min="9218" max="9218" width="23.33203125" style="58" customWidth="1"/>
    <col min="9219" max="9219" width="42.88671875" style="58" customWidth="1"/>
    <col min="9220" max="9220" width="14" style="58" customWidth="1"/>
    <col min="9221" max="9221" width="14.109375" style="58" customWidth="1"/>
    <col min="9222" max="9222" width="13" style="58" customWidth="1"/>
    <col min="9223" max="9223" width="14" style="58" customWidth="1"/>
    <col min="9224" max="9224" width="15" style="58" customWidth="1"/>
    <col min="9225" max="9225" width="15.21875" style="58" customWidth="1"/>
    <col min="9226" max="9226" width="1.88671875" style="58" customWidth="1"/>
    <col min="9227" max="9227" width="10.5546875" style="58" customWidth="1"/>
    <col min="9228" max="9232" width="8" style="58" customWidth="1"/>
    <col min="9233" max="9472" width="9.109375" style="58" hidden="1"/>
    <col min="9473" max="9473" width="6.88671875" style="58" customWidth="1"/>
    <col min="9474" max="9474" width="23.33203125" style="58" customWidth="1"/>
    <col min="9475" max="9475" width="42.88671875" style="58" customWidth="1"/>
    <col min="9476" max="9476" width="14" style="58" customWidth="1"/>
    <col min="9477" max="9477" width="14.109375" style="58" customWidth="1"/>
    <col min="9478" max="9478" width="13" style="58" customWidth="1"/>
    <col min="9479" max="9479" width="14" style="58" customWidth="1"/>
    <col min="9480" max="9480" width="15" style="58" customWidth="1"/>
    <col min="9481" max="9481" width="15.21875" style="58" customWidth="1"/>
    <col min="9482" max="9482" width="1.88671875" style="58" customWidth="1"/>
    <col min="9483" max="9483" width="10.5546875" style="58" customWidth="1"/>
    <col min="9484" max="9488" width="8" style="58" customWidth="1"/>
    <col min="9489" max="9728" width="9.109375" style="58" hidden="1"/>
    <col min="9729" max="9729" width="6.88671875" style="58" customWidth="1"/>
    <col min="9730" max="9730" width="23.33203125" style="58" customWidth="1"/>
    <col min="9731" max="9731" width="42.88671875" style="58" customWidth="1"/>
    <col min="9732" max="9732" width="14" style="58" customWidth="1"/>
    <col min="9733" max="9733" width="14.109375" style="58" customWidth="1"/>
    <col min="9734" max="9734" width="13" style="58" customWidth="1"/>
    <col min="9735" max="9735" width="14" style="58" customWidth="1"/>
    <col min="9736" max="9736" width="15" style="58" customWidth="1"/>
    <col min="9737" max="9737" width="15.21875" style="58" customWidth="1"/>
    <col min="9738" max="9738" width="1.88671875" style="58" customWidth="1"/>
    <col min="9739" max="9739" width="10.5546875" style="58" customWidth="1"/>
    <col min="9740" max="9744" width="8" style="58" customWidth="1"/>
    <col min="9745" max="9984" width="9.109375" style="58" hidden="1"/>
    <col min="9985" max="9985" width="6.88671875" style="58" customWidth="1"/>
    <col min="9986" max="9986" width="23.33203125" style="58" customWidth="1"/>
    <col min="9987" max="9987" width="42.88671875" style="58" customWidth="1"/>
    <col min="9988" max="9988" width="14" style="58" customWidth="1"/>
    <col min="9989" max="9989" width="14.109375" style="58" customWidth="1"/>
    <col min="9990" max="9990" width="13" style="58" customWidth="1"/>
    <col min="9991" max="9991" width="14" style="58" customWidth="1"/>
    <col min="9992" max="9992" width="15" style="58" customWidth="1"/>
    <col min="9993" max="9993" width="15.21875" style="58" customWidth="1"/>
    <col min="9994" max="9994" width="1.88671875" style="58" customWidth="1"/>
    <col min="9995" max="9995" width="10.5546875" style="58" customWidth="1"/>
    <col min="9996" max="10000" width="8" style="58" customWidth="1"/>
    <col min="10001" max="10240" width="9.109375" style="58" hidden="1"/>
    <col min="10241" max="10241" width="6.88671875" style="58" customWidth="1"/>
    <col min="10242" max="10242" width="23.33203125" style="58" customWidth="1"/>
    <col min="10243" max="10243" width="42.88671875" style="58" customWidth="1"/>
    <col min="10244" max="10244" width="14" style="58" customWidth="1"/>
    <col min="10245" max="10245" width="14.109375" style="58" customWidth="1"/>
    <col min="10246" max="10246" width="13" style="58" customWidth="1"/>
    <col min="10247" max="10247" width="14" style="58" customWidth="1"/>
    <col min="10248" max="10248" width="15" style="58" customWidth="1"/>
    <col min="10249" max="10249" width="15.21875" style="58" customWidth="1"/>
    <col min="10250" max="10250" width="1.88671875" style="58" customWidth="1"/>
    <col min="10251" max="10251" width="10.5546875" style="58" customWidth="1"/>
    <col min="10252" max="10256" width="8" style="58" customWidth="1"/>
    <col min="10257" max="10496" width="9.109375" style="58" hidden="1"/>
    <col min="10497" max="10497" width="6.88671875" style="58" customWidth="1"/>
    <col min="10498" max="10498" width="23.33203125" style="58" customWidth="1"/>
    <col min="10499" max="10499" width="42.88671875" style="58" customWidth="1"/>
    <col min="10500" max="10500" width="14" style="58" customWidth="1"/>
    <col min="10501" max="10501" width="14.109375" style="58" customWidth="1"/>
    <col min="10502" max="10502" width="13" style="58" customWidth="1"/>
    <col min="10503" max="10503" width="14" style="58" customWidth="1"/>
    <col min="10504" max="10504" width="15" style="58" customWidth="1"/>
    <col min="10505" max="10505" width="15.21875" style="58" customWidth="1"/>
    <col min="10506" max="10506" width="1.88671875" style="58" customWidth="1"/>
    <col min="10507" max="10507" width="10.5546875" style="58" customWidth="1"/>
    <col min="10508" max="10512" width="8" style="58" customWidth="1"/>
    <col min="10513" max="10752" width="9.109375" style="58" hidden="1"/>
    <col min="10753" max="10753" width="6.88671875" style="58" customWidth="1"/>
    <col min="10754" max="10754" width="23.33203125" style="58" customWidth="1"/>
    <col min="10755" max="10755" width="42.88671875" style="58" customWidth="1"/>
    <col min="10756" max="10756" width="14" style="58" customWidth="1"/>
    <col min="10757" max="10757" width="14.109375" style="58" customWidth="1"/>
    <col min="10758" max="10758" width="13" style="58" customWidth="1"/>
    <col min="10759" max="10759" width="14" style="58" customWidth="1"/>
    <col min="10760" max="10760" width="15" style="58" customWidth="1"/>
    <col min="10761" max="10761" width="15.21875" style="58" customWidth="1"/>
    <col min="10762" max="10762" width="1.88671875" style="58" customWidth="1"/>
    <col min="10763" max="10763" width="10.5546875" style="58" customWidth="1"/>
    <col min="10764" max="10768" width="8" style="58" customWidth="1"/>
    <col min="10769" max="11008" width="9.109375" style="58" hidden="1"/>
    <col min="11009" max="11009" width="6.88671875" style="58" customWidth="1"/>
    <col min="11010" max="11010" width="23.33203125" style="58" customWidth="1"/>
    <col min="11011" max="11011" width="42.88671875" style="58" customWidth="1"/>
    <col min="11012" max="11012" width="14" style="58" customWidth="1"/>
    <col min="11013" max="11013" width="14.109375" style="58" customWidth="1"/>
    <col min="11014" max="11014" width="13" style="58" customWidth="1"/>
    <col min="11015" max="11015" width="14" style="58" customWidth="1"/>
    <col min="11016" max="11016" width="15" style="58" customWidth="1"/>
    <col min="11017" max="11017" width="15.21875" style="58" customWidth="1"/>
    <col min="11018" max="11018" width="1.88671875" style="58" customWidth="1"/>
    <col min="11019" max="11019" width="10.5546875" style="58" customWidth="1"/>
    <col min="11020" max="11024" width="8" style="58" customWidth="1"/>
    <col min="11025" max="11264" width="9.109375" style="58" hidden="1"/>
    <col min="11265" max="11265" width="6.88671875" style="58" customWidth="1"/>
    <col min="11266" max="11266" width="23.33203125" style="58" customWidth="1"/>
    <col min="11267" max="11267" width="42.88671875" style="58" customWidth="1"/>
    <col min="11268" max="11268" width="14" style="58" customWidth="1"/>
    <col min="11269" max="11269" width="14.109375" style="58" customWidth="1"/>
    <col min="11270" max="11270" width="13" style="58" customWidth="1"/>
    <col min="11271" max="11271" width="14" style="58" customWidth="1"/>
    <col min="11272" max="11272" width="15" style="58" customWidth="1"/>
    <col min="11273" max="11273" width="15.21875" style="58" customWidth="1"/>
    <col min="11274" max="11274" width="1.88671875" style="58" customWidth="1"/>
    <col min="11275" max="11275" width="10.5546875" style="58" customWidth="1"/>
    <col min="11276" max="11280" width="8" style="58" customWidth="1"/>
    <col min="11281" max="11520" width="9.109375" style="58" hidden="1"/>
    <col min="11521" max="11521" width="6.88671875" style="58" customWidth="1"/>
    <col min="11522" max="11522" width="23.33203125" style="58" customWidth="1"/>
    <col min="11523" max="11523" width="42.88671875" style="58" customWidth="1"/>
    <col min="11524" max="11524" width="14" style="58" customWidth="1"/>
    <col min="11525" max="11525" width="14.109375" style="58" customWidth="1"/>
    <col min="11526" max="11526" width="13" style="58" customWidth="1"/>
    <col min="11527" max="11527" width="14" style="58" customWidth="1"/>
    <col min="11528" max="11528" width="15" style="58" customWidth="1"/>
    <col min="11529" max="11529" width="15.21875" style="58" customWidth="1"/>
    <col min="11530" max="11530" width="1.88671875" style="58" customWidth="1"/>
    <col min="11531" max="11531" width="10.5546875" style="58" customWidth="1"/>
    <col min="11532" max="11536" width="8" style="58" customWidth="1"/>
    <col min="11537" max="11776" width="9.109375" style="58" hidden="1"/>
    <col min="11777" max="11777" width="6.88671875" style="58" customWidth="1"/>
    <col min="11778" max="11778" width="23.33203125" style="58" customWidth="1"/>
    <col min="11779" max="11779" width="42.88671875" style="58" customWidth="1"/>
    <col min="11780" max="11780" width="14" style="58" customWidth="1"/>
    <col min="11781" max="11781" width="14.109375" style="58" customWidth="1"/>
    <col min="11782" max="11782" width="13" style="58" customWidth="1"/>
    <col min="11783" max="11783" width="14" style="58" customWidth="1"/>
    <col min="11784" max="11784" width="15" style="58" customWidth="1"/>
    <col min="11785" max="11785" width="15.21875" style="58" customWidth="1"/>
    <col min="11786" max="11786" width="1.88671875" style="58" customWidth="1"/>
    <col min="11787" max="11787" width="10.5546875" style="58" customWidth="1"/>
    <col min="11788" max="11792" width="8" style="58" customWidth="1"/>
    <col min="11793" max="12032" width="9.109375" style="58" hidden="1"/>
    <col min="12033" max="12033" width="6.88671875" style="58" customWidth="1"/>
    <col min="12034" max="12034" width="23.33203125" style="58" customWidth="1"/>
    <col min="12035" max="12035" width="42.88671875" style="58" customWidth="1"/>
    <col min="12036" max="12036" width="14" style="58" customWidth="1"/>
    <col min="12037" max="12037" width="14.109375" style="58" customWidth="1"/>
    <col min="12038" max="12038" width="13" style="58" customWidth="1"/>
    <col min="12039" max="12039" width="14" style="58" customWidth="1"/>
    <col min="12040" max="12040" width="15" style="58" customWidth="1"/>
    <col min="12041" max="12041" width="15.21875" style="58" customWidth="1"/>
    <col min="12042" max="12042" width="1.88671875" style="58" customWidth="1"/>
    <col min="12043" max="12043" width="10.5546875" style="58" customWidth="1"/>
    <col min="12044" max="12048" width="8" style="58" customWidth="1"/>
    <col min="12049" max="12288" width="9.109375" style="58" hidden="1"/>
    <col min="12289" max="12289" width="6.88671875" style="58" customWidth="1"/>
    <col min="12290" max="12290" width="23.33203125" style="58" customWidth="1"/>
    <col min="12291" max="12291" width="42.88671875" style="58" customWidth="1"/>
    <col min="12292" max="12292" width="14" style="58" customWidth="1"/>
    <col min="12293" max="12293" width="14.109375" style="58" customWidth="1"/>
    <col min="12294" max="12294" width="13" style="58" customWidth="1"/>
    <col min="12295" max="12295" width="14" style="58" customWidth="1"/>
    <col min="12296" max="12296" width="15" style="58" customWidth="1"/>
    <col min="12297" max="12297" width="15.21875" style="58" customWidth="1"/>
    <col min="12298" max="12298" width="1.88671875" style="58" customWidth="1"/>
    <col min="12299" max="12299" width="10.5546875" style="58" customWidth="1"/>
    <col min="12300" max="12304" width="8" style="58" customWidth="1"/>
    <col min="12305" max="12544" width="9.109375" style="58" hidden="1"/>
    <col min="12545" max="12545" width="6.88671875" style="58" customWidth="1"/>
    <col min="12546" max="12546" width="23.33203125" style="58" customWidth="1"/>
    <col min="12547" max="12547" width="42.88671875" style="58" customWidth="1"/>
    <col min="12548" max="12548" width="14" style="58" customWidth="1"/>
    <col min="12549" max="12549" width="14.109375" style="58" customWidth="1"/>
    <col min="12550" max="12550" width="13" style="58" customWidth="1"/>
    <col min="12551" max="12551" width="14" style="58" customWidth="1"/>
    <col min="12552" max="12552" width="15" style="58" customWidth="1"/>
    <col min="12553" max="12553" width="15.21875" style="58" customWidth="1"/>
    <col min="12554" max="12554" width="1.88671875" style="58" customWidth="1"/>
    <col min="12555" max="12555" width="10.5546875" style="58" customWidth="1"/>
    <col min="12556" max="12560" width="8" style="58" customWidth="1"/>
    <col min="12561" max="12800" width="9.109375" style="58" hidden="1"/>
    <col min="12801" max="12801" width="6.88671875" style="58" customWidth="1"/>
    <col min="12802" max="12802" width="23.33203125" style="58" customWidth="1"/>
    <col min="12803" max="12803" width="42.88671875" style="58" customWidth="1"/>
    <col min="12804" max="12804" width="14" style="58" customWidth="1"/>
    <col min="12805" max="12805" width="14.109375" style="58" customWidth="1"/>
    <col min="12806" max="12806" width="13" style="58" customWidth="1"/>
    <col min="12807" max="12807" width="14" style="58" customWidth="1"/>
    <col min="12808" max="12808" width="15" style="58" customWidth="1"/>
    <col min="12809" max="12809" width="15.21875" style="58" customWidth="1"/>
    <col min="12810" max="12810" width="1.88671875" style="58" customWidth="1"/>
    <col min="12811" max="12811" width="10.5546875" style="58" customWidth="1"/>
    <col min="12812" max="12816" width="8" style="58" customWidth="1"/>
    <col min="12817" max="13056" width="9.109375" style="58" hidden="1"/>
    <col min="13057" max="13057" width="6.88671875" style="58" customWidth="1"/>
    <col min="13058" max="13058" width="23.33203125" style="58" customWidth="1"/>
    <col min="13059" max="13059" width="42.88671875" style="58" customWidth="1"/>
    <col min="13060" max="13060" width="14" style="58" customWidth="1"/>
    <col min="13061" max="13061" width="14.109375" style="58" customWidth="1"/>
    <col min="13062" max="13062" width="13" style="58" customWidth="1"/>
    <col min="13063" max="13063" width="14" style="58" customWidth="1"/>
    <col min="13064" max="13064" width="15" style="58" customWidth="1"/>
    <col min="13065" max="13065" width="15.21875" style="58" customWidth="1"/>
    <col min="13066" max="13066" width="1.88671875" style="58" customWidth="1"/>
    <col min="13067" max="13067" width="10.5546875" style="58" customWidth="1"/>
    <col min="13068" max="13072" width="8" style="58" customWidth="1"/>
    <col min="13073" max="13312" width="9.109375" style="58" hidden="1"/>
    <col min="13313" max="13313" width="6.88671875" style="58" customWidth="1"/>
    <col min="13314" max="13314" width="23.33203125" style="58" customWidth="1"/>
    <col min="13315" max="13315" width="42.88671875" style="58" customWidth="1"/>
    <col min="13316" max="13316" width="14" style="58" customWidth="1"/>
    <col min="13317" max="13317" width="14.109375" style="58" customWidth="1"/>
    <col min="13318" max="13318" width="13" style="58" customWidth="1"/>
    <col min="13319" max="13319" width="14" style="58" customWidth="1"/>
    <col min="13320" max="13320" width="15" style="58" customWidth="1"/>
    <col min="13321" max="13321" width="15.21875" style="58" customWidth="1"/>
    <col min="13322" max="13322" width="1.88671875" style="58" customWidth="1"/>
    <col min="13323" max="13323" width="10.5546875" style="58" customWidth="1"/>
    <col min="13324" max="13328" width="8" style="58" customWidth="1"/>
    <col min="13329" max="13568" width="9.109375" style="58" hidden="1"/>
    <col min="13569" max="13569" width="6.88671875" style="58" customWidth="1"/>
    <col min="13570" max="13570" width="23.33203125" style="58" customWidth="1"/>
    <col min="13571" max="13571" width="42.88671875" style="58" customWidth="1"/>
    <col min="13572" max="13572" width="14" style="58" customWidth="1"/>
    <col min="13573" max="13573" width="14.109375" style="58" customWidth="1"/>
    <col min="13574" max="13574" width="13" style="58" customWidth="1"/>
    <col min="13575" max="13575" width="14" style="58" customWidth="1"/>
    <col min="13576" max="13576" width="15" style="58" customWidth="1"/>
    <col min="13577" max="13577" width="15.21875" style="58" customWidth="1"/>
    <col min="13578" max="13578" width="1.88671875" style="58" customWidth="1"/>
    <col min="13579" max="13579" width="10.5546875" style="58" customWidth="1"/>
    <col min="13580" max="13584" width="8" style="58" customWidth="1"/>
    <col min="13585" max="13824" width="9.109375" style="58" hidden="1"/>
    <col min="13825" max="13825" width="6.88671875" style="58" customWidth="1"/>
    <col min="13826" max="13826" width="23.33203125" style="58" customWidth="1"/>
    <col min="13827" max="13827" width="42.88671875" style="58" customWidth="1"/>
    <col min="13828" max="13828" width="14" style="58" customWidth="1"/>
    <col min="13829" max="13829" width="14.109375" style="58" customWidth="1"/>
    <col min="13830" max="13830" width="13" style="58" customWidth="1"/>
    <col min="13831" max="13831" width="14" style="58" customWidth="1"/>
    <col min="13832" max="13832" width="15" style="58" customWidth="1"/>
    <col min="13833" max="13833" width="15.21875" style="58" customWidth="1"/>
    <col min="13834" max="13834" width="1.88671875" style="58" customWidth="1"/>
    <col min="13835" max="13835" width="10.5546875" style="58" customWidth="1"/>
    <col min="13836" max="13840" width="8" style="58" customWidth="1"/>
    <col min="13841" max="14080" width="9.109375" style="58" hidden="1"/>
    <col min="14081" max="14081" width="6.88671875" style="58" customWidth="1"/>
    <col min="14082" max="14082" width="23.33203125" style="58" customWidth="1"/>
    <col min="14083" max="14083" width="42.88671875" style="58" customWidth="1"/>
    <col min="14084" max="14084" width="14" style="58" customWidth="1"/>
    <col min="14085" max="14085" width="14.109375" style="58" customWidth="1"/>
    <col min="14086" max="14086" width="13" style="58" customWidth="1"/>
    <col min="14087" max="14087" width="14" style="58" customWidth="1"/>
    <col min="14088" max="14088" width="15" style="58" customWidth="1"/>
    <col min="14089" max="14089" width="15.21875" style="58" customWidth="1"/>
    <col min="14090" max="14090" width="1.88671875" style="58" customWidth="1"/>
    <col min="14091" max="14091" width="10.5546875" style="58" customWidth="1"/>
    <col min="14092" max="14096" width="8" style="58" customWidth="1"/>
    <col min="14097" max="14336" width="9.109375" style="58" hidden="1"/>
    <col min="14337" max="14337" width="6.88671875" style="58" customWidth="1"/>
    <col min="14338" max="14338" width="23.33203125" style="58" customWidth="1"/>
    <col min="14339" max="14339" width="42.88671875" style="58" customWidth="1"/>
    <col min="14340" max="14340" width="14" style="58" customWidth="1"/>
    <col min="14341" max="14341" width="14.109375" style="58" customWidth="1"/>
    <col min="14342" max="14342" width="13" style="58" customWidth="1"/>
    <col min="14343" max="14343" width="14" style="58" customWidth="1"/>
    <col min="14344" max="14344" width="15" style="58" customWidth="1"/>
    <col min="14345" max="14345" width="15.21875" style="58" customWidth="1"/>
    <col min="14346" max="14346" width="1.88671875" style="58" customWidth="1"/>
    <col min="14347" max="14347" width="10.5546875" style="58" customWidth="1"/>
    <col min="14348" max="14352" width="8" style="58" customWidth="1"/>
    <col min="14353" max="14592" width="9.109375" style="58" hidden="1"/>
    <col min="14593" max="14593" width="6.88671875" style="58" customWidth="1"/>
    <col min="14594" max="14594" width="23.33203125" style="58" customWidth="1"/>
    <col min="14595" max="14595" width="42.88671875" style="58" customWidth="1"/>
    <col min="14596" max="14596" width="14" style="58" customWidth="1"/>
    <col min="14597" max="14597" width="14.109375" style="58" customWidth="1"/>
    <col min="14598" max="14598" width="13" style="58" customWidth="1"/>
    <col min="14599" max="14599" width="14" style="58" customWidth="1"/>
    <col min="14600" max="14600" width="15" style="58" customWidth="1"/>
    <col min="14601" max="14601" width="15.21875" style="58" customWidth="1"/>
    <col min="14602" max="14602" width="1.88671875" style="58" customWidth="1"/>
    <col min="14603" max="14603" width="10.5546875" style="58" customWidth="1"/>
    <col min="14604" max="14608" width="8" style="58" customWidth="1"/>
    <col min="14609" max="14848" width="9.109375" style="58" hidden="1"/>
    <col min="14849" max="14849" width="6.88671875" style="58" customWidth="1"/>
    <col min="14850" max="14850" width="23.33203125" style="58" customWidth="1"/>
    <col min="14851" max="14851" width="42.88671875" style="58" customWidth="1"/>
    <col min="14852" max="14852" width="14" style="58" customWidth="1"/>
    <col min="14853" max="14853" width="14.109375" style="58" customWidth="1"/>
    <col min="14854" max="14854" width="13" style="58" customWidth="1"/>
    <col min="14855" max="14855" width="14" style="58" customWidth="1"/>
    <col min="14856" max="14856" width="15" style="58" customWidth="1"/>
    <col min="14857" max="14857" width="15.21875" style="58" customWidth="1"/>
    <col min="14858" max="14858" width="1.88671875" style="58" customWidth="1"/>
    <col min="14859" max="14859" width="10.5546875" style="58" customWidth="1"/>
    <col min="14860" max="14864" width="8" style="58" customWidth="1"/>
    <col min="14865" max="15104" width="9.109375" style="58" hidden="1"/>
    <col min="15105" max="15105" width="6.88671875" style="58" customWidth="1"/>
    <col min="15106" max="15106" width="23.33203125" style="58" customWidth="1"/>
    <col min="15107" max="15107" width="42.88671875" style="58" customWidth="1"/>
    <col min="15108" max="15108" width="14" style="58" customWidth="1"/>
    <col min="15109" max="15109" width="14.109375" style="58" customWidth="1"/>
    <col min="15110" max="15110" width="13" style="58" customWidth="1"/>
    <col min="15111" max="15111" width="14" style="58" customWidth="1"/>
    <col min="15112" max="15112" width="15" style="58" customWidth="1"/>
    <col min="15113" max="15113" width="15.21875" style="58" customWidth="1"/>
    <col min="15114" max="15114" width="1.88671875" style="58" customWidth="1"/>
    <col min="15115" max="15115" width="10.5546875" style="58" customWidth="1"/>
    <col min="15116" max="15120" width="8" style="58" customWidth="1"/>
    <col min="15121" max="15360" width="9.109375" style="58" hidden="1"/>
    <col min="15361" max="15361" width="6.88671875" style="58" customWidth="1"/>
    <col min="15362" max="15362" width="23.33203125" style="58" customWidth="1"/>
    <col min="15363" max="15363" width="42.88671875" style="58" customWidth="1"/>
    <col min="15364" max="15364" width="14" style="58" customWidth="1"/>
    <col min="15365" max="15365" width="14.109375" style="58" customWidth="1"/>
    <col min="15366" max="15366" width="13" style="58" customWidth="1"/>
    <col min="15367" max="15367" width="14" style="58" customWidth="1"/>
    <col min="15368" max="15368" width="15" style="58" customWidth="1"/>
    <col min="15369" max="15369" width="15.21875" style="58" customWidth="1"/>
    <col min="15370" max="15370" width="1.88671875" style="58" customWidth="1"/>
    <col min="15371" max="15371" width="10.5546875" style="58" customWidth="1"/>
    <col min="15372" max="15376" width="8" style="58" customWidth="1"/>
    <col min="15377" max="15616" width="9.109375" style="58" hidden="1"/>
    <col min="15617" max="15617" width="6.88671875" style="58" customWidth="1"/>
    <col min="15618" max="15618" width="23.33203125" style="58" customWidth="1"/>
    <col min="15619" max="15619" width="42.88671875" style="58" customWidth="1"/>
    <col min="15620" max="15620" width="14" style="58" customWidth="1"/>
    <col min="15621" max="15621" width="14.109375" style="58" customWidth="1"/>
    <col min="15622" max="15622" width="13" style="58" customWidth="1"/>
    <col min="15623" max="15623" width="14" style="58" customWidth="1"/>
    <col min="15624" max="15624" width="15" style="58" customWidth="1"/>
    <col min="15625" max="15625" width="15.21875" style="58" customWidth="1"/>
    <col min="15626" max="15626" width="1.88671875" style="58" customWidth="1"/>
    <col min="15627" max="15627" width="10.5546875" style="58" customWidth="1"/>
    <col min="15628" max="15632" width="8" style="58" customWidth="1"/>
    <col min="15633" max="15872" width="9.109375" style="58" hidden="1"/>
    <col min="15873" max="15873" width="6.88671875" style="58" customWidth="1"/>
    <col min="15874" max="15874" width="23.33203125" style="58" customWidth="1"/>
    <col min="15875" max="15875" width="42.88671875" style="58" customWidth="1"/>
    <col min="15876" max="15876" width="14" style="58" customWidth="1"/>
    <col min="15877" max="15877" width="14.109375" style="58" customWidth="1"/>
    <col min="15878" max="15878" width="13" style="58" customWidth="1"/>
    <col min="15879" max="15879" width="14" style="58" customWidth="1"/>
    <col min="15880" max="15880" width="15" style="58" customWidth="1"/>
    <col min="15881" max="15881" width="15.21875" style="58" customWidth="1"/>
    <col min="15882" max="15882" width="1.88671875" style="58" customWidth="1"/>
    <col min="15883" max="15883" width="10.5546875" style="58" customWidth="1"/>
    <col min="15884" max="15888" width="8" style="58" customWidth="1"/>
    <col min="15889" max="16128" width="9.109375" style="58" hidden="1"/>
    <col min="16129" max="16129" width="6.88671875" style="58" customWidth="1"/>
    <col min="16130" max="16130" width="23.33203125" style="58" customWidth="1"/>
    <col min="16131" max="16131" width="42.88671875" style="58" customWidth="1"/>
    <col min="16132" max="16132" width="14" style="58" customWidth="1"/>
    <col min="16133" max="16133" width="14.109375" style="58" customWidth="1"/>
    <col min="16134" max="16134" width="13" style="58" customWidth="1"/>
    <col min="16135" max="16135" width="14" style="58" customWidth="1"/>
    <col min="16136" max="16136" width="15" style="58" customWidth="1"/>
    <col min="16137" max="16137" width="15.21875" style="58" customWidth="1"/>
    <col min="16138" max="16138" width="1.88671875" style="58" customWidth="1"/>
    <col min="16139" max="16139" width="10.5546875" style="58" customWidth="1"/>
    <col min="16140" max="16144" width="8" style="58" customWidth="1"/>
    <col min="16145" max="16145" width="0" style="58" hidden="1"/>
    <col min="16146" max="16384" width="9.109375" style="58" hidden="1"/>
  </cols>
  <sheetData>
    <row r="1" spans="1:1294" s="158" customFormat="1" ht="21.6" customHeight="1">
      <c r="A1" s="828" t="s">
        <v>63</v>
      </c>
      <c r="B1" s="828"/>
      <c r="C1" s="828"/>
      <c r="D1" s="828"/>
      <c r="E1" s="828"/>
      <c r="F1" s="828"/>
      <c r="G1" s="828"/>
      <c r="H1" s="828"/>
    </row>
    <row r="2" spans="1:1294" s="158" customFormat="1" ht="21.6" customHeight="1">
      <c r="A2" s="829" t="s">
        <v>115</v>
      </c>
      <c r="B2" s="829"/>
      <c r="C2" s="829"/>
      <c r="D2" s="829"/>
      <c r="E2" s="829"/>
      <c r="F2" s="829"/>
      <c r="G2" s="829"/>
      <c r="H2" s="829"/>
    </row>
    <row r="3" spans="1:1294" s="158" customFormat="1" ht="20.399999999999999" customHeight="1">
      <c r="A3" s="158" t="s">
        <v>8</v>
      </c>
      <c r="E3" s="160"/>
      <c r="F3" s="160"/>
      <c r="G3" s="192">
        <v>0</v>
      </c>
      <c r="H3" s="160"/>
    </row>
    <row r="4" spans="1:1294" s="45" customFormat="1" ht="36.6" customHeight="1">
      <c r="A4" s="46" t="s">
        <v>0</v>
      </c>
      <c r="B4" s="46" t="s">
        <v>2</v>
      </c>
      <c r="C4" s="46" t="s">
        <v>6</v>
      </c>
      <c r="D4" s="46" t="s">
        <v>9</v>
      </c>
      <c r="E4" s="48" t="s">
        <v>26</v>
      </c>
      <c r="F4" s="47" t="s">
        <v>3</v>
      </c>
      <c r="G4" s="48" t="s">
        <v>10</v>
      </c>
      <c r="H4" s="49" t="s">
        <v>4</v>
      </c>
    </row>
    <row r="5" spans="1:1294" s="45" customFormat="1" ht="19.05" customHeight="1">
      <c r="A5" s="50">
        <v>1</v>
      </c>
      <c r="B5" s="830" t="s">
        <v>19</v>
      </c>
      <c r="C5" s="72" t="s">
        <v>70</v>
      </c>
      <c r="D5" s="839" t="s">
        <v>65</v>
      </c>
      <c r="E5" s="79">
        <f>COUNTIFS(Table13514520105[[#All],[Sales]],"คุณนิมิต จุ้ยอยู่ทอง",Table13514520105[[#All],[รายการเบิก
คอมขาย]],"&gt;0")</f>
        <v>1</v>
      </c>
      <c r="F5" s="59">
        <f>SUMIF(Table13514520105[[#All],[Sales]],"คุณนิมิต จุ้ยอยู่ทอง",Table13514520105[[#All],[รายการเบิก
คอมขาย]])</f>
        <v>4542.0600000000004</v>
      </c>
      <c r="G5" s="75">
        <f t="shared" ref="G5:G16" si="0">F5*$G$3</f>
        <v>0</v>
      </c>
      <c r="H5" s="75">
        <f t="shared" ref="H5:H23" si="1">SUM(F5-G5)</f>
        <v>4542.0600000000004</v>
      </c>
      <c r="I5" s="138"/>
      <c r="J5" s="76"/>
    </row>
    <row r="6" spans="1:1294" s="45" customFormat="1" ht="19.05" customHeight="1">
      <c r="A6" s="50"/>
      <c r="B6" s="831"/>
      <c r="C6" s="72" t="s">
        <v>71</v>
      </c>
      <c r="D6" s="840"/>
      <c r="E6" s="79">
        <f>COUNTIFS(Table13514520105[[#All],[Sales]],"คุณธวัช มีแสง",Table13514520105[[#All],[รายการเบิก
คอมขาย]],"&gt;0")</f>
        <v>0</v>
      </c>
      <c r="F6" s="59">
        <f>SUMIF(Table13514520105[[#All],[Sales]],"คุณธวัช มีแสง",Table13514520105[[#All],[รายการเบิก
คอมขาย]])</f>
        <v>0</v>
      </c>
      <c r="G6" s="75">
        <f t="shared" si="0"/>
        <v>0</v>
      </c>
      <c r="H6" s="75">
        <f t="shared" si="1"/>
        <v>0</v>
      </c>
      <c r="I6" s="51"/>
      <c r="J6" s="77"/>
    </row>
    <row r="7" spans="1:1294" s="45" customFormat="1" ht="19.05" customHeight="1">
      <c r="A7" s="50"/>
      <c r="B7" s="831"/>
      <c r="C7" s="72" t="s">
        <v>72</v>
      </c>
      <c r="D7" s="840"/>
      <c r="E7" s="79">
        <f>COUNTIFS(Table13514520105[[#All],[Sales]],"คุณแดง มูลสองแคว",Table13514520105[[#All],[รายการเบิก
คอมขาย]],"&gt;0")</f>
        <v>1</v>
      </c>
      <c r="F7" s="59">
        <f>SUMIF(Table13514520105[[#All],[Sales]],"คุณแดง มูลสองแคว",Table13514520105[[#All],[รายการเบิก
คอมขาย]])</f>
        <v>4000</v>
      </c>
      <c r="G7" s="75">
        <f t="shared" si="0"/>
        <v>0</v>
      </c>
      <c r="H7" s="75">
        <f t="shared" si="1"/>
        <v>4000</v>
      </c>
      <c r="I7" s="51"/>
      <c r="J7" s="77"/>
    </row>
    <row r="8" spans="1:1294" s="45" customFormat="1" ht="19.05" customHeight="1">
      <c r="A8" s="50"/>
      <c r="B8" s="831"/>
      <c r="C8" s="135" t="s">
        <v>73</v>
      </c>
      <c r="D8" s="840"/>
      <c r="E8" s="79">
        <f>COUNTIFS(Table13514520105[[#All],[Sales]],"คุณนิยนต์ อยู่ทะเล",Table13514520105[[#All],[รายการเบิก
คอมขาย]],"&gt;0")</f>
        <v>0</v>
      </c>
      <c r="F8" s="59">
        <f>SUMIF(Table13514520105[[#All],[Sales]],"คุณนิยนต์ อยู่ทะเล",Table13514520105[[#All],[รายการเบิก
คอมขาย]])</f>
        <v>0</v>
      </c>
      <c r="G8" s="75">
        <f t="shared" ref="G8:G13" si="2">F8*$G$3</f>
        <v>0</v>
      </c>
      <c r="H8" s="75">
        <f t="shared" si="1"/>
        <v>0</v>
      </c>
      <c r="I8" s="51"/>
      <c r="J8" s="77"/>
    </row>
    <row r="9" spans="1:1294" s="45" customFormat="1" ht="19.05" customHeight="1">
      <c r="A9" s="50"/>
      <c r="B9" s="831"/>
      <c r="C9" s="141" t="s">
        <v>67</v>
      </c>
      <c r="D9" s="840"/>
      <c r="E9" s="79">
        <f>COUNTIFS(Table13514520105[[#All],[Sales]],"คุณรุ่งอรุณ อินบุญรอด",Table13514520105[[#All],[รายการเบิก
คอมขาย]],"&gt;0")</f>
        <v>1</v>
      </c>
      <c r="F9" s="59">
        <f>SUMIF(Table13514520105[[#All],[Sales]],"คุณรุ่งอรุณ อินบุญรอด",Table13514520105[[#All],[รายการเบิก
คอมขาย]])</f>
        <v>3500</v>
      </c>
      <c r="G9" s="75">
        <f t="shared" si="2"/>
        <v>0</v>
      </c>
      <c r="H9" s="75">
        <f t="shared" si="1"/>
        <v>3500</v>
      </c>
      <c r="I9" s="51"/>
      <c r="J9" s="77"/>
    </row>
    <row r="10" spans="1:1294" s="45" customFormat="1" ht="19.05" customHeight="1">
      <c r="A10" s="50"/>
      <c r="B10" s="831"/>
      <c r="C10" s="141" t="s">
        <v>68</v>
      </c>
      <c r="D10" s="840"/>
      <c r="E10" s="79">
        <f>COUNTIFS(Table13514520105[[#All],[Sales]],"คุณศศินาถ จุ้ยอยู่ทอง",Table13514520105[[#All],[รายการเบิก
คอมขาย]],"&gt;0")</f>
        <v>1</v>
      </c>
      <c r="F10" s="59">
        <f>SUMIF(Table13514520105[[#All],[Sales]],"คุณศศินาถ จุ้ยอยู่ทอง",Table13514520105[[#All],[รายการเบิก
คอมขาย]])</f>
        <v>6500</v>
      </c>
      <c r="G10" s="75">
        <f t="shared" si="2"/>
        <v>0</v>
      </c>
      <c r="H10" s="75">
        <f t="shared" si="1"/>
        <v>6500</v>
      </c>
      <c r="I10" s="51"/>
      <c r="J10" s="77"/>
    </row>
    <row r="11" spans="1:1294" s="45" customFormat="1" ht="19.05" customHeight="1">
      <c r="A11" s="50"/>
      <c r="B11" s="831"/>
      <c r="C11" s="190" t="s">
        <v>90</v>
      </c>
      <c r="D11" s="840"/>
      <c r="E11" s="79">
        <f>COUNTIFS(Table13514520105[[#All],[Sales]],"คุณณรงศ์ศักย์ เหล่ารัตนเวช",Table13514520105[[#All],[รายการเบิก
คอมขาย]],"&gt;0")</f>
        <v>0</v>
      </c>
      <c r="F11" s="59">
        <f>SUMIF(Table13514520105[[#All],[Sales]],"คุณณรงศ์ศักย์ เหล่ารัตนเวช",Table13514520105[[#All],[รายการเบิก
คอมขาย]])</f>
        <v>0</v>
      </c>
      <c r="G11" s="75">
        <f t="shared" si="2"/>
        <v>0</v>
      </c>
      <c r="H11" s="75">
        <f t="shared" si="1"/>
        <v>0</v>
      </c>
      <c r="I11" s="51"/>
      <c r="J11" s="77"/>
    </row>
    <row r="12" spans="1:1294" s="45" customFormat="1" ht="19.05" customHeight="1">
      <c r="A12" s="50"/>
      <c r="B12" s="831"/>
      <c r="C12" s="190" t="s">
        <v>130</v>
      </c>
      <c r="D12" s="840"/>
      <c r="E12" s="79">
        <f>COUNTIFS(Table13514520105[[#All],[Sales]],"คุณชนัฐฎา สนคะมี",Table13514520105[[#All],[รายการเบิก
คอมขาย]],"&gt;0")</f>
        <v>0</v>
      </c>
      <c r="F12" s="59">
        <f>SUMIF(Table13514520105[[#All],[Sales]],"คุณชนัฐฎา สนคะมี",Table13514520105[[#All],[รายการเบิก
คอมขาย]])</f>
        <v>0</v>
      </c>
      <c r="G12" s="75">
        <f t="shared" si="2"/>
        <v>0</v>
      </c>
      <c r="H12" s="75">
        <f t="shared" si="1"/>
        <v>0</v>
      </c>
      <c r="I12" s="51"/>
      <c r="J12" s="77"/>
    </row>
    <row r="13" spans="1:1294" s="45" customFormat="1" ht="19.05" customHeight="1">
      <c r="A13" s="50"/>
      <c r="B13" s="832"/>
      <c r="C13" s="72" t="s">
        <v>69</v>
      </c>
      <c r="D13" s="841"/>
      <c r="E13" s="79">
        <f>COUNTIFS(Table13514520105[[#All],[Sales]],"คุณธัญลักษณ์ หมื่นหลุบกุง",Table13514520105[[#All],[รายการเบิก
คอมขาย]],"&gt;0")</f>
        <v>0</v>
      </c>
      <c r="F13" s="59">
        <f>SUMIF(Table13514520105[[#All],[Sales]],"คุณธัญลักษณ์ หมื่นหลุบกุง",Table13514520105[[#All],[รายการเบิก
คอมขาย]])</f>
        <v>0</v>
      </c>
      <c r="G13" s="75">
        <f t="shared" si="2"/>
        <v>0</v>
      </c>
      <c r="H13" s="75">
        <f t="shared" si="1"/>
        <v>0</v>
      </c>
      <c r="I13" s="51"/>
      <c r="J13" s="77"/>
    </row>
    <row r="14" spans="1:1294" s="52" customFormat="1" ht="19.05" customHeight="1">
      <c r="A14" s="69">
        <v>2</v>
      </c>
      <c r="B14" s="833" t="s">
        <v>11</v>
      </c>
      <c r="C14" s="72" t="s">
        <v>70</v>
      </c>
      <c r="D14" s="842" t="s">
        <v>28</v>
      </c>
      <c r="E14" s="80">
        <f>COUNTIFS(Table13514520105[[#All],[Sales]],"คุณนิมิต จุ้ยอยู่ทอง",Table13514520105[[#All],[ค่าขายอุปกรณ์]],"&gt;1")</f>
        <v>0</v>
      </c>
      <c r="F14" s="75">
        <f>SUMIF(Table13514520105[[#All],[Sales]],"คุณนิมิต จุ้ยอยู่ทอง",Table13514520105[[#All],[Total
คอมฯ อุปกรณ์]])</f>
        <v>0</v>
      </c>
      <c r="G14" s="75">
        <f t="shared" si="0"/>
        <v>0</v>
      </c>
      <c r="H14" s="75">
        <f t="shared" si="1"/>
        <v>0</v>
      </c>
      <c r="I14" s="51"/>
      <c r="J14" s="78"/>
      <c r="K14" s="45"/>
      <c r="L14" s="45"/>
      <c r="M14" s="45"/>
      <c r="N14" s="45"/>
      <c r="O14" s="45"/>
      <c r="P14" s="45"/>
      <c r="Q14" s="45"/>
      <c r="R14" s="45"/>
      <c r="S14" s="45"/>
      <c r="T14" s="45"/>
      <c r="U14" s="45"/>
      <c r="V14" s="45"/>
      <c r="W14" s="45"/>
      <c r="X14" s="45"/>
      <c r="Y14" s="45"/>
      <c r="Z14" s="45"/>
      <c r="AA14" s="45"/>
      <c r="AB14" s="45"/>
      <c r="AC14" s="45"/>
      <c r="AD14" s="45"/>
      <c r="AE14" s="45"/>
      <c r="AF14" s="45"/>
      <c r="AG14" s="45"/>
      <c r="AH14" s="45"/>
      <c r="AI14" s="45"/>
      <c r="AJ14" s="45"/>
      <c r="AK14" s="45"/>
      <c r="AL14" s="45"/>
      <c r="AM14" s="45"/>
      <c r="AN14" s="45"/>
      <c r="AO14" s="45"/>
      <c r="AP14" s="45"/>
      <c r="AQ14" s="45"/>
      <c r="AR14" s="45"/>
      <c r="AS14" s="45"/>
      <c r="AT14" s="45"/>
      <c r="AU14" s="45"/>
      <c r="AV14" s="45"/>
      <c r="AW14" s="45"/>
      <c r="AX14" s="45"/>
      <c r="AY14" s="45"/>
      <c r="AZ14" s="45"/>
      <c r="BA14" s="45"/>
      <c r="BB14" s="45"/>
      <c r="BC14" s="45"/>
      <c r="BD14" s="45"/>
      <c r="BE14" s="45"/>
      <c r="BF14" s="45"/>
      <c r="BG14" s="45"/>
      <c r="BH14" s="45"/>
      <c r="BI14" s="45"/>
      <c r="BJ14" s="45"/>
      <c r="BK14" s="45"/>
      <c r="BL14" s="45"/>
      <c r="BM14" s="45"/>
      <c r="BN14" s="45"/>
      <c r="BO14" s="45"/>
      <c r="BP14" s="45"/>
      <c r="BQ14" s="45"/>
      <c r="BR14" s="45"/>
      <c r="BS14" s="45"/>
      <c r="BT14" s="45"/>
      <c r="BU14" s="45"/>
      <c r="BV14" s="45"/>
      <c r="BW14" s="45"/>
      <c r="BX14" s="45"/>
      <c r="BY14" s="45"/>
      <c r="BZ14" s="45"/>
      <c r="CA14" s="45"/>
      <c r="CB14" s="45"/>
      <c r="CC14" s="45"/>
      <c r="CD14" s="45"/>
      <c r="CE14" s="45"/>
      <c r="CF14" s="45"/>
      <c r="CG14" s="45"/>
      <c r="CH14" s="45"/>
      <c r="CI14" s="45"/>
      <c r="CJ14" s="45"/>
      <c r="CK14" s="45"/>
      <c r="CL14" s="45"/>
      <c r="CM14" s="45"/>
      <c r="CN14" s="45"/>
      <c r="CO14" s="45"/>
      <c r="CP14" s="45"/>
      <c r="CQ14" s="45"/>
      <c r="CR14" s="45"/>
      <c r="CS14" s="45"/>
      <c r="CT14" s="45"/>
      <c r="CU14" s="45"/>
      <c r="CV14" s="45"/>
      <c r="CW14" s="45"/>
      <c r="CX14" s="45"/>
      <c r="CY14" s="45"/>
      <c r="CZ14" s="45"/>
      <c r="DA14" s="45"/>
      <c r="DB14" s="45"/>
      <c r="DC14" s="45"/>
      <c r="DD14" s="45"/>
      <c r="DE14" s="45"/>
      <c r="DF14" s="45"/>
      <c r="DG14" s="45"/>
      <c r="DH14" s="45"/>
      <c r="DI14" s="45"/>
      <c r="DJ14" s="45"/>
      <c r="DK14" s="45"/>
      <c r="DL14" s="45"/>
      <c r="DM14" s="45"/>
      <c r="DN14" s="45"/>
      <c r="DO14" s="45"/>
      <c r="DP14" s="45"/>
      <c r="DQ14" s="45"/>
      <c r="DR14" s="45"/>
      <c r="DS14" s="45"/>
      <c r="DT14" s="45"/>
      <c r="DU14" s="45"/>
      <c r="DV14" s="45"/>
      <c r="DW14" s="45"/>
      <c r="DX14" s="45"/>
      <c r="DY14" s="45"/>
      <c r="DZ14" s="45"/>
      <c r="EA14" s="45"/>
      <c r="EB14" s="45"/>
      <c r="EC14" s="45"/>
      <c r="ED14" s="45"/>
      <c r="EE14" s="45"/>
      <c r="EF14" s="45"/>
      <c r="EG14" s="45"/>
      <c r="EH14" s="45"/>
      <c r="EI14" s="45"/>
      <c r="EJ14" s="45"/>
      <c r="EK14" s="45"/>
      <c r="EL14" s="45"/>
      <c r="EM14" s="45"/>
      <c r="EN14" s="45"/>
      <c r="EO14" s="45"/>
      <c r="EP14" s="45"/>
      <c r="EQ14" s="45"/>
      <c r="ER14" s="45"/>
      <c r="ES14" s="45"/>
      <c r="ET14" s="45"/>
      <c r="EU14" s="45"/>
      <c r="EV14" s="45"/>
      <c r="EW14" s="45"/>
      <c r="EX14" s="45"/>
      <c r="EY14" s="45"/>
      <c r="EZ14" s="45"/>
      <c r="FA14" s="45"/>
      <c r="FB14" s="45"/>
      <c r="FC14" s="45"/>
      <c r="FD14" s="45"/>
      <c r="FE14" s="45"/>
      <c r="FF14" s="45"/>
      <c r="FG14" s="45"/>
      <c r="FH14" s="45"/>
      <c r="FI14" s="45"/>
      <c r="FJ14" s="45"/>
      <c r="FK14" s="45"/>
      <c r="FL14" s="45"/>
      <c r="FM14" s="45"/>
      <c r="FN14" s="45"/>
      <c r="FO14" s="45"/>
      <c r="FP14" s="45"/>
      <c r="FQ14" s="45"/>
      <c r="FR14" s="45"/>
      <c r="FS14" s="45"/>
      <c r="FT14" s="45"/>
      <c r="FU14" s="45"/>
      <c r="FV14" s="45"/>
      <c r="FW14" s="45"/>
      <c r="FX14" s="45"/>
      <c r="FY14" s="45"/>
      <c r="FZ14" s="45"/>
      <c r="GA14" s="45"/>
      <c r="GB14" s="45"/>
      <c r="GC14" s="45"/>
      <c r="GD14" s="45"/>
      <c r="GE14" s="45"/>
      <c r="GF14" s="45"/>
      <c r="GG14" s="45"/>
      <c r="GH14" s="45"/>
      <c r="GI14" s="45"/>
      <c r="GJ14" s="45"/>
      <c r="GK14" s="45"/>
      <c r="GL14" s="45"/>
      <c r="GM14" s="45"/>
      <c r="GN14" s="45"/>
      <c r="GO14" s="45"/>
      <c r="GP14" s="45"/>
      <c r="GQ14" s="45"/>
      <c r="GR14" s="45"/>
      <c r="GS14" s="45"/>
      <c r="GT14" s="45"/>
      <c r="GU14" s="45"/>
      <c r="GV14" s="45"/>
      <c r="GW14" s="45"/>
      <c r="GX14" s="45"/>
      <c r="GY14" s="45"/>
      <c r="GZ14" s="45"/>
      <c r="HA14" s="45"/>
      <c r="HB14" s="45"/>
      <c r="HC14" s="45"/>
      <c r="HD14" s="45"/>
      <c r="HE14" s="45"/>
      <c r="HF14" s="45"/>
      <c r="HG14" s="45"/>
      <c r="HH14" s="45"/>
      <c r="HI14" s="45"/>
      <c r="HJ14" s="45"/>
      <c r="HK14" s="45"/>
      <c r="HL14" s="45"/>
      <c r="HM14" s="45"/>
      <c r="HN14" s="45"/>
      <c r="HO14" s="45"/>
      <c r="HP14" s="45"/>
      <c r="HQ14" s="45"/>
      <c r="HR14" s="45"/>
      <c r="HS14" s="45"/>
      <c r="HT14" s="45"/>
      <c r="HU14" s="45"/>
      <c r="HV14" s="45"/>
      <c r="HW14" s="45"/>
      <c r="HX14" s="45"/>
      <c r="HY14" s="45"/>
      <c r="HZ14" s="45"/>
      <c r="IA14" s="45"/>
      <c r="IB14" s="45"/>
      <c r="IC14" s="45"/>
      <c r="ID14" s="45"/>
      <c r="IE14" s="45"/>
      <c r="IF14" s="45"/>
      <c r="IG14" s="45"/>
      <c r="IH14" s="45"/>
      <c r="II14" s="45"/>
      <c r="IJ14" s="45"/>
      <c r="IK14" s="45"/>
      <c r="IL14" s="45"/>
      <c r="IM14" s="45"/>
      <c r="IN14" s="45"/>
      <c r="IO14" s="45"/>
      <c r="IP14" s="45"/>
      <c r="IQ14" s="45"/>
      <c r="IR14" s="45"/>
      <c r="IS14" s="45"/>
      <c r="IT14" s="45"/>
      <c r="IU14" s="45"/>
      <c r="IV14" s="45"/>
      <c r="IW14" s="45"/>
      <c r="IX14" s="45"/>
      <c r="IY14" s="45"/>
      <c r="IZ14" s="45"/>
      <c r="JA14" s="45"/>
      <c r="JB14" s="45"/>
      <c r="JC14" s="45"/>
      <c r="JD14" s="45"/>
      <c r="JE14" s="45"/>
      <c r="JF14" s="45"/>
      <c r="JG14" s="45"/>
      <c r="JH14" s="45"/>
      <c r="JI14" s="45"/>
      <c r="JJ14" s="45"/>
      <c r="JK14" s="45"/>
      <c r="JL14" s="45"/>
      <c r="JM14" s="45"/>
      <c r="JN14" s="45"/>
      <c r="JO14" s="45"/>
      <c r="JP14" s="45"/>
      <c r="JQ14" s="45"/>
      <c r="JR14" s="45"/>
      <c r="JS14" s="45"/>
      <c r="JT14" s="45"/>
      <c r="JU14" s="45"/>
      <c r="JV14" s="45"/>
      <c r="JW14" s="45"/>
      <c r="JX14" s="45"/>
      <c r="JY14" s="45"/>
      <c r="JZ14" s="45"/>
      <c r="KA14" s="45"/>
      <c r="KB14" s="45"/>
      <c r="KC14" s="45"/>
      <c r="KD14" s="45"/>
      <c r="KE14" s="45"/>
      <c r="KF14" s="45"/>
      <c r="KG14" s="45"/>
      <c r="KH14" s="45"/>
      <c r="KI14" s="45"/>
      <c r="KJ14" s="45"/>
      <c r="KK14" s="45"/>
      <c r="KL14" s="45"/>
      <c r="KM14" s="45"/>
      <c r="KN14" s="45"/>
      <c r="KO14" s="45"/>
      <c r="KP14" s="45"/>
      <c r="KQ14" s="45"/>
      <c r="KR14" s="45"/>
      <c r="KS14" s="45"/>
      <c r="KT14" s="45"/>
      <c r="KU14" s="45"/>
      <c r="KV14" s="45"/>
      <c r="KW14" s="45"/>
      <c r="KX14" s="45"/>
      <c r="KY14" s="45"/>
      <c r="KZ14" s="45"/>
      <c r="LA14" s="45"/>
      <c r="LB14" s="45"/>
      <c r="LC14" s="45"/>
      <c r="LD14" s="45"/>
      <c r="LE14" s="45"/>
      <c r="LF14" s="45"/>
      <c r="LG14" s="45"/>
      <c r="LH14" s="45"/>
      <c r="LI14" s="45"/>
      <c r="LJ14" s="45"/>
      <c r="LK14" s="45"/>
      <c r="LL14" s="45"/>
      <c r="LM14" s="45"/>
      <c r="LN14" s="45"/>
      <c r="LO14" s="45"/>
      <c r="LP14" s="45"/>
      <c r="LQ14" s="45"/>
      <c r="LR14" s="45"/>
      <c r="LS14" s="45"/>
      <c r="LT14" s="45"/>
      <c r="LU14" s="45"/>
      <c r="LV14" s="45"/>
      <c r="LW14" s="45"/>
      <c r="LX14" s="45"/>
      <c r="LY14" s="45"/>
      <c r="LZ14" s="45"/>
      <c r="MA14" s="45"/>
      <c r="MB14" s="45"/>
      <c r="MC14" s="45"/>
      <c r="MD14" s="45"/>
      <c r="ME14" s="45"/>
      <c r="MF14" s="45"/>
      <c r="MG14" s="45"/>
      <c r="MH14" s="45"/>
      <c r="MI14" s="45"/>
      <c r="MJ14" s="45"/>
      <c r="MK14" s="45"/>
      <c r="ML14" s="45"/>
      <c r="MM14" s="45"/>
      <c r="MN14" s="45"/>
      <c r="MO14" s="45"/>
      <c r="MP14" s="45"/>
      <c r="MQ14" s="45"/>
      <c r="MR14" s="45"/>
      <c r="MS14" s="45"/>
      <c r="MT14" s="45"/>
      <c r="MU14" s="45"/>
      <c r="MV14" s="45"/>
      <c r="MW14" s="45"/>
      <c r="MX14" s="45"/>
      <c r="MY14" s="45"/>
      <c r="MZ14" s="45"/>
      <c r="NA14" s="45"/>
      <c r="NB14" s="45"/>
      <c r="NC14" s="45"/>
      <c r="ND14" s="45"/>
      <c r="NE14" s="45"/>
      <c r="NF14" s="45"/>
      <c r="NG14" s="45"/>
      <c r="NH14" s="45"/>
      <c r="NI14" s="45"/>
      <c r="NJ14" s="45"/>
      <c r="NK14" s="45"/>
      <c r="NL14" s="45"/>
      <c r="NM14" s="45"/>
      <c r="NN14" s="45"/>
      <c r="NO14" s="45"/>
      <c r="NP14" s="45"/>
      <c r="NQ14" s="45"/>
      <c r="NR14" s="45"/>
      <c r="NS14" s="45"/>
      <c r="NT14" s="45"/>
      <c r="NU14" s="45"/>
      <c r="NV14" s="45"/>
      <c r="NW14" s="45"/>
      <c r="NX14" s="45"/>
      <c r="NY14" s="45"/>
      <c r="NZ14" s="45"/>
      <c r="OA14" s="45"/>
      <c r="OB14" s="45"/>
      <c r="OC14" s="45"/>
      <c r="OD14" s="45"/>
      <c r="OE14" s="45"/>
      <c r="OF14" s="45"/>
      <c r="OG14" s="45"/>
      <c r="OH14" s="45"/>
      <c r="OI14" s="45"/>
      <c r="OJ14" s="45"/>
      <c r="OK14" s="45"/>
      <c r="OL14" s="45"/>
      <c r="OM14" s="45"/>
      <c r="ON14" s="45"/>
      <c r="OO14" s="45"/>
      <c r="OP14" s="45"/>
      <c r="OQ14" s="45"/>
      <c r="OR14" s="45"/>
      <c r="OS14" s="45"/>
      <c r="OT14" s="45"/>
      <c r="OU14" s="45"/>
      <c r="OV14" s="45"/>
      <c r="OW14" s="45"/>
      <c r="OX14" s="45"/>
      <c r="OY14" s="45"/>
      <c r="OZ14" s="45"/>
      <c r="PA14" s="45"/>
      <c r="PB14" s="45"/>
      <c r="PC14" s="45"/>
      <c r="PD14" s="45"/>
      <c r="PE14" s="45"/>
      <c r="PF14" s="45"/>
      <c r="PG14" s="45"/>
      <c r="PH14" s="45"/>
      <c r="PI14" s="45"/>
      <c r="PJ14" s="45"/>
      <c r="PK14" s="45"/>
      <c r="PL14" s="45"/>
      <c r="PM14" s="45"/>
      <c r="PN14" s="45"/>
      <c r="PO14" s="45"/>
      <c r="PP14" s="45"/>
      <c r="PQ14" s="45"/>
      <c r="PR14" s="45"/>
      <c r="PS14" s="45"/>
      <c r="PT14" s="45"/>
      <c r="PU14" s="45"/>
      <c r="PV14" s="45"/>
      <c r="PW14" s="45"/>
      <c r="PX14" s="45"/>
      <c r="PY14" s="45"/>
      <c r="PZ14" s="45"/>
      <c r="QA14" s="45"/>
      <c r="QB14" s="45"/>
      <c r="QC14" s="45"/>
      <c r="QD14" s="45"/>
      <c r="QE14" s="45"/>
      <c r="QF14" s="45"/>
      <c r="QG14" s="45"/>
      <c r="QH14" s="45"/>
      <c r="QI14" s="45"/>
      <c r="QJ14" s="45"/>
      <c r="QK14" s="45"/>
      <c r="QL14" s="45"/>
      <c r="QM14" s="45"/>
      <c r="QN14" s="45"/>
      <c r="QO14" s="45"/>
      <c r="QP14" s="45"/>
      <c r="QQ14" s="45"/>
      <c r="QR14" s="45"/>
      <c r="QS14" s="45"/>
      <c r="QT14" s="45"/>
      <c r="QU14" s="45"/>
      <c r="QV14" s="45"/>
      <c r="QW14" s="45"/>
      <c r="QX14" s="45"/>
      <c r="QY14" s="45"/>
      <c r="QZ14" s="45"/>
      <c r="RA14" s="45"/>
      <c r="RB14" s="45"/>
      <c r="RC14" s="45"/>
      <c r="RD14" s="45"/>
      <c r="RE14" s="45"/>
      <c r="RF14" s="45"/>
      <c r="RG14" s="45"/>
      <c r="RH14" s="45"/>
      <c r="RI14" s="45"/>
      <c r="RJ14" s="45"/>
      <c r="RK14" s="45"/>
      <c r="RL14" s="45"/>
      <c r="RM14" s="45"/>
      <c r="RN14" s="45"/>
      <c r="RO14" s="45"/>
      <c r="RP14" s="45"/>
      <c r="RQ14" s="45"/>
      <c r="RR14" s="45"/>
      <c r="RS14" s="45"/>
      <c r="RT14" s="45"/>
      <c r="RU14" s="45"/>
      <c r="RV14" s="45"/>
      <c r="RW14" s="45"/>
      <c r="RX14" s="45"/>
      <c r="RY14" s="45"/>
      <c r="RZ14" s="45"/>
      <c r="SA14" s="45"/>
      <c r="SB14" s="45"/>
      <c r="SC14" s="45"/>
      <c r="SD14" s="45"/>
      <c r="SE14" s="45"/>
      <c r="SF14" s="45"/>
      <c r="SG14" s="45"/>
      <c r="SH14" s="45"/>
      <c r="SI14" s="45"/>
      <c r="SJ14" s="45"/>
      <c r="SK14" s="45"/>
      <c r="SL14" s="45"/>
      <c r="SM14" s="45"/>
      <c r="SN14" s="45"/>
      <c r="SO14" s="45"/>
      <c r="SP14" s="45"/>
      <c r="SQ14" s="45"/>
      <c r="SR14" s="45"/>
      <c r="SS14" s="45"/>
      <c r="ST14" s="45"/>
      <c r="SU14" s="45"/>
      <c r="SV14" s="45"/>
      <c r="SW14" s="45"/>
      <c r="SX14" s="45"/>
      <c r="SY14" s="45"/>
      <c r="SZ14" s="45"/>
      <c r="TA14" s="45"/>
      <c r="TB14" s="45"/>
      <c r="TC14" s="45"/>
      <c r="TD14" s="45"/>
      <c r="TE14" s="45"/>
      <c r="TF14" s="45"/>
      <c r="TG14" s="45"/>
      <c r="TH14" s="45"/>
      <c r="TI14" s="45"/>
      <c r="TJ14" s="45"/>
      <c r="TK14" s="45"/>
      <c r="TL14" s="45"/>
      <c r="TM14" s="45"/>
      <c r="TN14" s="45"/>
      <c r="TO14" s="45"/>
      <c r="TP14" s="45"/>
      <c r="TQ14" s="45"/>
      <c r="TR14" s="45"/>
      <c r="TS14" s="45"/>
      <c r="TT14" s="45"/>
      <c r="TU14" s="45"/>
      <c r="TV14" s="45"/>
      <c r="TW14" s="45"/>
      <c r="TX14" s="45"/>
      <c r="TY14" s="45"/>
      <c r="TZ14" s="45"/>
      <c r="UA14" s="45"/>
      <c r="UB14" s="45"/>
      <c r="UC14" s="45"/>
      <c r="UD14" s="45"/>
      <c r="UE14" s="45"/>
      <c r="UF14" s="45"/>
      <c r="UG14" s="45"/>
      <c r="UH14" s="45"/>
      <c r="UI14" s="45"/>
      <c r="UJ14" s="45"/>
      <c r="UK14" s="45"/>
      <c r="UL14" s="45"/>
      <c r="UM14" s="45"/>
      <c r="UN14" s="45"/>
      <c r="UO14" s="45"/>
      <c r="UP14" s="45"/>
      <c r="UQ14" s="45"/>
      <c r="UR14" s="45"/>
      <c r="US14" s="45"/>
      <c r="UT14" s="45"/>
      <c r="UU14" s="45"/>
      <c r="UV14" s="45"/>
      <c r="UW14" s="45"/>
      <c r="UX14" s="45"/>
      <c r="UY14" s="45"/>
      <c r="UZ14" s="45"/>
      <c r="VA14" s="45"/>
      <c r="VB14" s="45"/>
      <c r="VC14" s="45"/>
      <c r="VD14" s="45"/>
      <c r="VE14" s="45"/>
      <c r="VF14" s="45"/>
      <c r="VG14" s="45"/>
      <c r="VH14" s="45"/>
      <c r="VI14" s="45"/>
      <c r="VJ14" s="45"/>
      <c r="VK14" s="45"/>
      <c r="VL14" s="45"/>
      <c r="VM14" s="45"/>
      <c r="VN14" s="45"/>
      <c r="VO14" s="45"/>
      <c r="VP14" s="45"/>
      <c r="VQ14" s="45"/>
      <c r="VR14" s="45"/>
      <c r="VS14" s="45"/>
      <c r="VT14" s="45"/>
      <c r="VU14" s="45"/>
      <c r="VV14" s="45"/>
      <c r="VW14" s="45"/>
      <c r="VX14" s="45"/>
      <c r="VY14" s="45"/>
      <c r="VZ14" s="45"/>
      <c r="WA14" s="45"/>
      <c r="WB14" s="45"/>
      <c r="WC14" s="45"/>
      <c r="WD14" s="45"/>
      <c r="WE14" s="45"/>
      <c r="WF14" s="45"/>
      <c r="WG14" s="45"/>
      <c r="WH14" s="45"/>
      <c r="WI14" s="45"/>
      <c r="WJ14" s="45"/>
      <c r="WK14" s="45"/>
      <c r="WL14" s="45"/>
      <c r="WM14" s="45"/>
      <c r="WN14" s="45"/>
      <c r="WO14" s="45"/>
      <c r="WP14" s="45"/>
      <c r="WQ14" s="45"/>
      <c r="WR14" s="45"/>
      <c r="WS14" s="45"/>
      <c r="WT14" s="45"/>
      <c r="WU14" s="45"/>
      <c r="WV14" s="45"/>
      <c r="WW14" s="45"/>
      <c r="WX14" s="45"/>
      <c r="WY14" s="45"/>
      <c r="WZ14" s="45"/>
      <c r="XA14" s="45"/>
      <c r="XB14" s="45"/>
      <c r="XC14" s="45"/>
      <c r="XD14" s="45"/>
      <c r="XE14" s="45"/>
      <c r="XF14" s="45"/>
      <c r="XG14" s="45"/>
      <c r="XH14" s="45"/>
      <c r="XI14" s="45"/>
      <c r="XJ14" s="45"/>
      <c r="XK14" s="45"/>
      <c r="XL14" s="45"/>
      <c r="XM14" s="45"/>
      <c r="XN14" s="45"/>
      <c r="XO14" s="45"/>
      <c r="XP14" s="45"/>
      <c r="XQ14" s="45"/>
      <c r="XR14" s="45"/>
      <c r="XS14" s="45"/>
      <c r="XT14" s="45"/>
      <c r="XU14" s="45"/>
      <c r="XV14" s="45"/>
      <c r="XW14" s="45"/>
      <c r="XX14" s="45"/>
      <c r="XY14" s="45"/>
      <c r="XZ14" s="45"/>
      <c r="YA14" s="45"/>
      <c r="YB14" s="45"/>
      <c r="YC14" s="45"/>
      <c r="YD14" s="45"/>
      <c r="YE14" s="45"/>
      <c r="YF14" s="45"/>
      <c r="YG14" s="45"/>
      <c r="YH14" s="45"/>
      <c r="YI14" s="45"/>
      <c r="YJ14" s="45"/>
      <c r="YK14" s="45"/>
      <c r="YL14" s="45"/>
      <c r="YM14" s="45"/>
      <c r="YN14" s="45"/>
      <c r="YO14" s="45"/>
      <c r="YP14" s="45"/>
      <c r="YQ14" s="45"/>
      <c r="YR14" s="45"/>
      <c r="YS14" s="45"/>
      <c r="YT14" s="45"/>
      <c r="YU14" s="45"/>
      <c r="YV14" s="45"/>
      <c r="YW14" s="45"/>
      <c r="YX14" s="45"/>
      <c r="YY14" s="45"/>
      <c r="YZ14" s="45"/>
      <c r="ZA14" s="45"/>
      <c r="ZB14" s="45"/>
      <c r="ZC14" s="45"/>
      <c r="ZD14" s="45"/>
      <c r="ZE14" s="45"/>
      <c r="ZF14" s="45"/>
      <c r="ZG14" s="45"/>
      <c r="ZH14" s="45"/>
      <c r="ZI14" s="45"/>
      <c r="ZJ14" s="45"/>
      <c r="ZK14" s="45"/>
      <c r="ZL14" s="45"/>
      <c r="ZM14" s="45"/>
      <c r="ZN14" s="45"/>
      <c r="ZO14" s="45"/>
      <c r="ZP14" s="45"/>
      <c r="ZQ14" s="45"/>
      <c r="ZR14" s="45"/>
      <c r="ZS14" s="45"/>
      <c r="ZT14" s="45"/>
      <c r="ZU14" s="45"/>
      <c r="ZV14" s="45"/>
      <c r="ZW14" s="45"/>
      <c r="ZX14" s="45"/>
      <c r="ZY14" s="45"/>
      <c r="ZZ14" s="45"/>
      <c r="AAA14" s="45"/>
      <c r="AAB14" s="45"/>
      <c r="AAC14" s="45"/>
      <c r="AAD14" s="45"/>
      <c r="AAE14" s="45"/>
      <c r="AAF14" s="45"/>
      <c r="AAG14" s="45"/>
      <c r="AAH14" s="45"/>
      <c r="AAI14" s="45"/>
      <c r="AAJ14" s="45"/>
      <c r="AAK14" s="45"/>
      <c r="AAL14" s="45"/>
      <c r="AAM14" s="45"/>
      <c r="AAN14" s="45"/>
      <c r="AAO14" s="45"/>
      <c r="AAP14" s="45"/>
      <c r="AAQ14" s="45"/>
      <c r="AAR14" s="45"/>
      <c r="AAS14" s="45"/>
      <c r="AAT14" s="45"/>
      <c r="AAU14" s="45"/>
      <c r="AAV14" s="45"/>
      <c r="AAW14" s="45"/>
      <c r="AAX14" s="45"/>
      <c r="AAY14" s="45"/>
      <c r="AAZ14" s="45"/>
      <c r="ABA14" s="45"/>
      <c r="ABB14" s="45"/>
      <c r="ABC14" s="45"/>
      <c r="ABD14" s="45"/>
      <c r="ABE14" s="45"/>
      <c r="ABF14" s="45"/>
      <c r="ABG14" s="45"/>
      <c r="ABH14" s="45"/>
      <c r="ABI14" s="45"/>
      <c r="ABJ14" s="45"/>
      <c r="ABK14" s="45"/>
      <c r="ABL14" s="45"/>
      <c r="ABM14" s="45"/>
      <c r="ABN14" s="45"/>
      <c r="ABO14" s="45"/>
      <c r="ABP14" s="45"/>
      <c r="ABQ14" s="45"/>
      <c r="ABR14" s="45"/>
      <c r="ABS14" s="45"/>
      <c r="ABT14" s="45"/>
      <c r="ABU14" s="45"/>
      <c r="ABV14" s="45"/>
      <c r="ABW14" s="45"/>
      <c r="ABX14" s="45"/>
      <c r="ABY14" s="45"/>
      <c r="ABZ14" s="45"/>
      <c r="ACA14" s="45"/>
      <c r="ACB14" s="45"/>
      <c r="ACC14" s="45"/>
      <c r="ACD14" s="45"/>
      <c r="ACE14" s="45"/>
      <c r="ACF14" s="45"/>
      <c r="ACG14" s="45"/>
      <c r="ACH14" s="45"/>
      <c r="ACI14" s="45"/>
      <c r="ACJ14" s="45"/>
      <c r="ACK14" s="45"/>
      <c r="ACL14" s="45"/>
      <c r="ACM14" s="45"/>
      <c r="ACN14" s="45"/>
      <c r="ACO14" s="45"/>
      <c r="ACP14" s="45"/>
      <c r="ACQ14" s="45"/>
      <c r="ACR14" s="45"/>
      <c r="ACS14" s="45"/>
      <c r="ACT14" s="45"/>
      <c r="ACU14" s="45"/>
      <c r="ACV14" s="45"/>
      <c r="ACW14" s="45"/>
      <c r="ACX14" s="45"/>
      <c r="ACY14" s="45"/>
      <c r="ACZ14" s="45"/>
      <c r="ADA14" s="45"/>
      <c r="ADB14" s="45"/>
      <c r="ADC14" s="45"/>
      <c r="ADD14" s="45"/>
      <c r="ADE14" s="45"/>
      <c r="ADF14" s="45"/>
      <c r="ADG14" s="45"/>
      <c r="ADH14" s="45"/>
      <c r="ADI14" s="45"/>
      <c r="ADJ14" s="45"/>
      <c r="ADK14" s="45"/>
      <c r="ADL14" s="45"/>
      <c r="ADM14" s="45"/>
      <c r="ADN14" s="45"/>
      <c r="ADO14" s="45"/>
      <c r="ADP14" s="45"/>
      <c r="ADQ14" s="45"/>
      <c r="ADR14" s="45"/>
      <c r="ADS14" s="45"/>
      <c r="ADT14" s="45"/>
      <c r="ADU14" s="45"/>
      <c r="ADV14" s="45"/>
      <c r="ADW14" s="45"/>
      <c r="ADX14" s="45"/>
      <c r="ADY14" s="45"/>
      <c r="ADZ14" s="45"/>
      <c r="AEA14" s="45"/>
      <c r="AEB14" s="45"/>
      <c r="AEC14" s="45"/>
      <c r="AED14" s="45"/>
      <c r="AEE14" s="45"/>
      <c r="AEF14" s="45"/>
      <c r="AEG14" s="45"/>
      <c r="AEH14" s="45"/>
      <c r="AEI14" s="45"/>
      <c r="AEJ14" s="45"/>
      <c r="AEK14" s="45"/>
      <c r="AEL14" s="45"/>
      <c r="AEM14" s="45"/>
      <c r="AEN14" s="45"/>
      <c r="AEO14" s="45"/>
      <c r="AEP14" s="45"/>
      <c r="AEQ14" s="45"/>
      <c r="AER14" s="45"/>
      <c r="AES14" s="45"/>
      <c r="AET14" s="45"/>
      <c r="AEU14" s="45"/>
      <c r="AEV14" s="45"/>
      <c r="AEW14" s="45"/>
      <c r="AEX14" s="45"/>
      <c r="AEY14" s="45"/>
      <c r="AEZ14" s="45"/>
      <c r="AFA14" s="45"/>
      <c r="AFB14" s="45"/>
      <c r="AFC14" s="45"/>
      <c r="AFD14" s="45"/>
      <c r="AFE14" s="45"/>
      <c r="AFF14" s="45"/>
      <c r="AFG14" s="45"/>
      <c r="AFH14" s="45"/>
      <c r="AFI14" s="45"/>
      <c r="AFJ14" s="45"/>
      <c r="AFK14" s="45"/>
      <c r="AFL14" s="45"/>
      <c r="AFM14" s="45"/>
      <c r="AFN14" s="45"/>
      <c r="AFO14" s="45"/>
      <c r="AFP14" s="45"/>
      <c r="AFQ14" s="45"/>
      <c r="AFR14" s="45"/>
      <c r="AFS14" s="45"/>
      <c r="AFT14" s="45"/>
      <c r="AFU14" s="45"/>
      <c r="AFV14" s="45"/>
      <c r="AFW14" s="45"/>
      <c r="AFX14" s="45"/>
      <c r="AFY14" s="45"/>
      <c r="AFZ14" s="45"/>
      <c r="AGA14" s="45"/>
      <c r="AGB14" s="45"/>
      <c r="AGC14" s="45"/>
      <c r="AGD14" s="45"/>
      <c r="AGE14" s="45"/>
      <c r="AGF14" s="45"/>
      <c r="AGG14" s="45"/>
      <c r="AGH14" s="45"/>
      <c r="AGI14" s="45"/>
      <c r="AGJ14" s="45"/>
      <c r="AGK14" s="45"/>
      <c r="AGL14" s="45"/>
      <c r="AGM14" s="45"/>
      <c r="AGN14" s="45"/>
      <c r="AGO14" s="45"/>
      <c r="AGP14" s="45"/>
      <c r="AGQ14" s="45"/>
      <c r="AGR14" s="45"/>
      <c r="AGS14" s="45"/>
      <c r="AGT14" s="45"/>
      <c r="AGU14" s="45"/>
      <c r="AGV14" s="45"/>
      <c r="AGW14" s="45"/>
      <c r="AGX14" s="45"/>
      <c r="AGY14" s="45"/>
      <c r="AGZ14" s="45"/>
      <c r="AHA14" s="45"/>
      <c r="AHB14" s="45"/>
      <c r="AHC14" s="45"/>
      <c r="AHD14" s="45"/>
      <c r="AHE14" s="45"/>
      <c r="AHF14" s="45"/>
      <c r="AHG14" s="45"/>
      <c r="AHH14" s="45"/>
      <c r="AHI14" s="45"/>
      <c r="AHJ14" s="45"/>
      <c r="AHK14" s="45"/>
      <c r="AHL14" s="45"/>
      <c r="AHM14" s="45"/>
      <c r="AHN14" s="45"/>
      <c r="AHO14" s="45"/>
      <c r="AHP14" s="45"/>
      <c r="AHQ14" s="45"/>
      <c r="AHR14" s="45"/>
      <c r="AHS14" s="45"/>
      <c r="AHT14" s="45"/>
      <c r="AHU14" s="45"/>
      <c r="AHV14" s="45"/>
      <c r="AHW14" s="45"/>
      <c r="AHX14" s="45"/>
      <c r="AHY14" s="45"/>
      <c r="AHZ14" s="45"/>
      <c r="AIA14" s="45"/>
      <c r="AIB14" s="45"/>
      <c r="AIC14" s="45"/>
      <c r="AID14" s="45"/>
      <c r="AIE14" s="45"/>
      <c r="AIF14" s="45"/>
      <c r="AIG14" s="45"/>
      <c r="AIH14" s="45"/>
      <c r="AII14" s="45"/>
      <c r="AIJ14" s="45"/>
      <c r="AIK14" s="45"/>
      <c r="AIL14" s="45"/>
      <c r="AIM14" s="45"/>
      <c r="AIN14" s="45"/>
      <c r="AIO14" s="45"/>
      <c r="AIP14" s="45"/>
      <c r="AIQ14" s="45"/>
      <c r="AIR14" s="45"/>
      <c r="AIS14" s="45"/>
      <c r="AIT14" s="45"/>
      <c r="AIU14" s="45"/>
      <c r="AIV14" s="45"/>
      <c r="AIW14" s="45"/>
      <c r="AIX14" s="45"/>
      <c r="AIY14" s="45"/>
      <c r="AIZ14" s="45"/>
      <c r="AJA14" s="45"/>
      <c r="AJB14" s="45"/>
      <c r="AJC14" s="45"/>
      <c r="AJD14" s="45"/>
      <c r="AJE14" s="45"/>
      <c r="AJF14" s="45"/>
      <c r="AJG14" s="45"/>
      <c r="AJH14" s="45"/>
      <c r="AJI14" s="45"/>
      <c r="AJJ14" s="45"/>
      <c r="AJK14" s="45"/>
      <c r="AJL14" s="45"/>
      <c r="AJM14" s="45"/>
      <c r="AJN14" s="45"/>
      <c r="AJO14" s="45"/>
      <c r="AJP14" s="45"/>
      <c r="AJQ14" s="45"/>
      <c r="AJR14" s="45"/>
      <c r="AJS14" s="45"/>
      <c r="AJT14" s="45"/>
      <c r="AJU14" s="45"/>
      <c r="AJV14" s="45"/>
      <c r="AJW14" s="45"/>
      <c r="AJX14" s="45"/>
      <c r="AJY14" s="45"/>
      <c r="AJZ14" s="45"/>
      <c r="AKA14" s="45"/>
      <c r="AKB14" s="45"/>
      <c r="AKC14" s="45"/>
      <c r="AKD14" s="45"/>
      <c r="AKE14" s="45"/>
      <c r="AKF14" s="45"/>
      <c r="AKG14" s="45"/>
      <c r="AKH14" s="45"/>
      <c r="AKI14" s="45"/>
      <c r="AKJ14" s="45"/>
      <c r="AKK14" s="45"/>
      <c r="AKL14" s="45"/>
      <c r="AKM14" s="45"/>
      <c r="AKN14" s="45"/>
      <c r="AKO14" s="45"/>
      <c r="AKP14" s="45"/>
      <c r="AKQ14" s="45"/>
      <c r="AKR14" s="45"/>
      <c r="AKS14" s="45"/>
      <c r="AKT14" s="45"/>
      <c r="AKU14" s="45"/>
      <c r="AKV14" s="45"/>
      <c r="AKW14" s="45"/>
      <c r="AKX14" s="45"/>
      <c r="AKY14" s="45"/>
      <c r="AKZ14" s="45"/>
      <c r="ALA14" s="45"/>
      <c r="ALB14" s="45"/>
      <c r="ALC14" s="45"/>
      <c r="ALD14" s="45"/>
      <c r="ALE14" s="45"/>
      <c r="ALF14" s="45"/>
      <c r="ALG14" s="45"/>
      <c r="ALH14" s="45"/>
      <c r="ALI14" s="45"/>
      <c r="ALJ14" s="45"/>
      <c r="ALK14" s="45"/>
      <c r="ALL14" s="45"/>
      <c r="ALM14" s="45"/>
      <c r="ALN14" s="45"/>
      <c r="ALO14" s="45"/>
      <c r="ALP14" s="45"/>
      <c r="ALQ14" s="45"/>
      <c r="ALR14" s="45"/>
      <c r="ALS14" s="45"/>
      <c r="ALT14" s="45"/>
      <c r="ALU14" s="45"/>
      <c r="ALV14" s="45"/>
      <c r="ALW14" s="45"/>
      <c r="ALX14" s="45"/>
      <c r="ALY14" s="45"/>
      <c r="ALZ14" s="45"/>
      <c r="AMA14" s="45"/>
      <c r="AMB14" s="45"/>
      <c r="AMC14" s="45"/>
      <c r="AMD14" s="45"/>
      <c r="AME14" s="45"/>
      <c r="AMF14" s="45"/>
      <c r="AMG14" s="45"/>
      <c r="AMH14" s="45"/>
      <c r="AMI14" s="45"/>
      <c r="AMJ14" s="45"/>
      <c r="AMK14" s="45"/>
      <c r="AML14" s="45"/>
      <c r="AMM14" s="45"/>
      <c r="AMN14" s="45"/>
      <c r="AMO14" s="45"/>
      <c r="AMP14" s="45"/>
      <c r="AMQ14" s="45"/>
      <c r="AMR14" s="45"/>
      <c r="AMS14" s="45"/>
      <c r="AMT14" s="45"/>
      <c r="AMU14" s="45"/>
      <c r="AMV14" s="45"/>
      <c r="AMW14" s="45"/>
      <c r="AMX14" s="45"/>
      <c r="AMY14" s="45"/>
      <c r="AMZ14" s="45"/>
      <c r="ANA14" s="45"/>
      <c r="ANB14" s="45"/>
      <c r="ANC14" s="45"/>
      <c r="AND14" s="45"/>
      <c r="ANE14" s="45"/>
      <c r="ANF14" s="45"/>
      <c r="ANG14" s="45"/>
      <c r="ANH14" s="45"/>
      <c r="ANI14" s="45"/>
      <c r="ANJ14" s="45"/>
      <c r="ANK14" s="45"/>
      <c r="ANL14" s="45"/>
      <c r="ANM14" s="45"/>
      <c r="ANN14" s="45"/>
      <c r="ANO14" s="45"/>
      <c r="ANP14" s="45"/>
      <c r="ANQ14" s="45"/>
      <c r="ANR14" s="45"/>
      <c r="ANS14" s="45"/>
      <c r="ANT14" s="45"/>
      <c r="ANU14" s="45"/>
      <c r="ANV14" s="45"/>
      <c r="ANW14" s="45"/>
      <c r="ANX14" s="45"/>
      <c r="ANY14" s="45"/>
      <c r="ANZ14" s="45"/>
      <c r="AOA14" s="45"/>
      <c r="AOB14" s="45"/>
      <c r="AOC14" s="45"/>
      <c r="AOD14" s="45"/>
      <c r="AOE14" s="45"/>
      <c r="AOF14" s="45"/>
      <c r="AOG14" s="45"/>
      <c r="AOH14" s="45"/>
      <c r="AOI14" s="45"/>
      <c r="AOJ14" s="45"/>
      <c r="AOK14" s="45"/>
      <c r="AOL14" s="45"/>
      <c r="AOM14" s="45"/>
      <c r="AON14" s="45"/>
      <c r="AOO14" s="45"/>
      <c r="AOP14" s="45"/>
      <c r="AOQ14" s="45"/>
      <c r="AOR14" s="45"/>
      <c r="AOS14" s="45"/>
      <c r="AOT14" s="45"/>
      <c r="AOU14" s="45"/>
      <c r="AOV14" s="45"/>
      <c r="AOW14" s="45"/>
      <c r="AOX14" s="45"/>
      <c r="AOY14" s="45"/>
      <c r="AOZ14" s="45"/>
      <c r="APA14" s="45"/>
      <c r="APB14" s="45"/>
      <c r="APC14" s="45"/>
      <c r="APD14" s="45"/>
      <c r="APE14" s="45"/>
      <c r="APF14" s="45"/>
      <c r="APG14" s="45"/>
      <c r="APH14" s="45"/>
      <c r="API14" s="45"/>
      <c r="APJ14" s="45"/>
      <c r="APK14" s="45"/>
      <c r="APL14" s="45"/>
      <c r="APM14" s="45"/>
      <c r="APN14" s="45"/>
      <c r="APO14" s="45"/>
      <c r="APP14" s="45"/>
      <c r="APQ14" s="45"/>
      <c r="APR14" s="45"/>
      <c r="APS14" s="45"/>
      <c r="APT14" s="45"/>
      <c r="APU14" s="45"/>
      <c r="APV14" s="45"/>
      <c r="APW14" s="45"/>
      <c r="APX14" s="45"/>
      <c r="APY14" s="45"/>
      <c r="APZ14" s="45"/>
      <c r="AQA14" s="45"/>
      <c r="AQB14" s="45"/>
      <c r="AQC14" s="45"/>
      <c r="AQD14" s="45"/>
      <c r="AQE14" s="45"/>
      <c r="AQF14" s="45"/>
      <c r="AQG14" s="45"/>
      <c r="AQH14" s="45"/>
      <c r="AQI14" s="45"/>
      <c r="AQJ14" s="45"/>
      <c r="AQK14" s="45"/>
      <c r="AQL14" s="45"/>
      <c r="AQM14" s="45"/>
      <c r="AQN14" s="45"/>
      <c r="AQO14" s="45"/>
      <c r="AQP14" s="45"/>
      <c r="AQQ14" s="45"/>
      <c r="AQR14" s="45"/>
      <c r="AQS14" s="45"/>
      <c r="AQT14" s="45"/>
      <c r="AQU14" s="45"/>
      <c r="AQV14" s="45"/>
      <c r="AQW14" s="45"/>
      <c r="AQX14" s="45"/>
      <c r="AQY14" s="45"/>
      <c r="AQZ14" s="45"/>
      <c r="ARA14" s="45"/>
      <c r="ARB14" s="45"/>
      <c r="ARC14" s="45"/>
      <c r="ARD14" s="45"/>
      <c r="ARE14" s="45"/>
      <c r="ARF14" s="45"/>
      <c r="ARG14" s="45"/>
      <c r="ARH14" s="45"/>
      <c r="ARI14" s="45"/>
      <c r="ARJ14" s="45"/>
      <c r="ARK14" s="45"/>
      <c r="ARL14" s="45"/>
      <c r="ARM14" s="45"/>
      <c r="ARN14" s="45"/>
      <c r="ARO14" s="45"/>
      <c r="ARP14" s="45"/>
      <c r="ARQ14" s="45"/>
      <c r="ARR14" s="45"/>
      <c r="ARS14" s="45"/>
      <c r="ART14" s="45"/>
      <c r="ARU14" s="45"/>
      <c r="ARV14" s="45"/>
      <c r="ARW14" s="45"/>
      <c r="ARX14" s="45"/>
      <c r="ARY14" s="45"/>
      <c r="ARZ14" s="45"/>
      <c r="ASA14" s="45"/>
      <c r="ASB14" s="45"/>
      <c r="ASC14" s="45"/>
      <c r="ASD14" s="45"/>
      <c r="ASE14" s="45"/>
      <c r="ASF14" s="45"/>
      <c r="ASG14" s="45"/>
      <c r="ASH14" s="45"/>
      <c r="ASI14" s="45"/>
      <c r="ASJ14" s="45"/>
      <c r="ASK14" s="45"/>
      <c r="ASL14" s="45"/>
      <c r="ASM14" s="45"/>
      <c r="ASN14" s="45"/>
      <c r="ASO14" s="45"/>
      <c r="ASP14" s="45"/>
      <c r="ASQ14" s="45"/>
      <c r="ASR14" s="45"/>
      <c r="ASS14" s="45"/>
      <c r="AST14" s="45"/>
      <c r="ASU14" s="45"/>
      <c r="ASV14" s="45"/>
      <c r="ASW14" s="45"/>
      <c r="ASX14" s="45"/>
      <c r="ASY14" s="45"/>
      <c r="ASZ14" s="45"/>
      <c r="ATA14" s="45"/>
      <c r="ATB14" s="45"/>
      <c r="ATC14" s="45"/>
      <c r="ATD14" s="45"/>
      <c r="ATE14" s="45"/>
      <c r="ATF14" s="45"/>
      <c r="ATG14" s="45"/>
      <c r="ATH14" s="45"/>
      <c r="ATI14" s="45"/>
      <c r="ATJ14" s="45"/>
      <c r="ATK14" s="45"/>
      <c r="ATL14" s="45"/>
      <c r="ATM14" s="45"/>
      <c r="ATN14" s="45"/>
      <c r="ATO14" s="45"/>
      <c r="ATP14" s="45"/>
      <c r="ATQ14" s="45"/>
      <c r="ATR14" s="45"/>
      <c r="ATS14" s="45"/>
      <c r="ATT14" s="45"/>
      <c r="ATU14" s="45"/>
      <c r="ATV14" s="45"/>
      <c r="ATW14" s="45"/>
      <c r="ATX14" s="45"/>
      <c r="ATY14" s="45"/>
      <c r="ATZ14" s="45"/>
      <c r="AUA14" s="45"/>
      <c r="AUB14" s="45"/>
      <c r="AUC14" s="45"/>
      <c r="AUD14" s="45"/>
      <c r="AUE14" s="45"/>
      <c r="AUF14" s="45"/>
      <c r="AUG14" s="45"/>
      <c r="AUH14" s="45"/>
      <c r="AUI14" s="45"/>
      <c r="AUJ14" s="45"/>
      <c r="AUK14" s="45"/>
      <c r="AUL14" s="45"/>
      <c r="AUM14" s="45"/>
      <c r="AUN14" s="45"/>
      <c r="AUO14" s="45"/>
      <c r="AUP14" s="45"/>
      <c r="AUQ14" s="45"/>
      <c r="AUR14" s="45"/>
      <c r="AUS14" s="45"/>
      <c r="AUT14" s="45"/>
      <c r="AUU14" s="45"/>
      <c r="AUV14" s="45"/>
      <c r="AUW14" s="45"/>
      <c r="AUX14" s="45"/>
      <c r="AUY14" s="45"/>
      <c r="AUZ14" s="45"/>
      <c r="AVA14" s="45"/>
      <c r="AVB14" s="45"/>
      <c r="AVC14" s="45"/>
      <c r="AVD14" s="45"/>
      <c r="AVE14" s="45"/>
      <c r="AVF14" s="45"/>
      <c r="AVG14" s="45"/>
      <c r="AVH14" s="45"/>
      <c r="AVI14" s="45"/>
      <c r="AVJ14" s="45"/>
      <c r="AVK14" s="45"/>
      <c r="AVL14" s="45"/>
      <c r="AVM14" s="45"/>
      <c r="AVN14" s="45"/>
      <c r="AVO14" s="45"/>
      <c r="AVP14" s="45"/>
      <c r="AVQ14" s="45"/>
      <c r="AVR14" s="45"/>
      <c r="AVS14" s="45"/>
      <c r="AVT14" s="45"/>
      <c r="AVU14" s="45"/>
      <c r="AVV14" s="45"/>
      <c r="AVW14" s="45"/>
      <c r="AVX14" s="45"/>
      <c r="AVY14" s="45"/>
      <c r="AVZ14" s="45"/>
      <c r="AWA14" s="45"/>
      <c r="AWB14" s="45"/>
      <c r="AWC14" s="45"/>
      <c r="AWD14" s="45"/>
      <c r="AWE14" s="45"/>
      <c r="AWF14" s="45"/>
      <c r="AWG14" s="45"/>
      <c r="AWH14" s="45"/>
      <c r="AWI14" s="45"/>
      <c r="AWJ14" s="45"/>
      <c r="AWK14" s="45"/>
      <c r="AWL14" s="45"/>
      <c r="AWM14" s="45"/>
      <c r="AWN14" s="45"/>
      <c r="AWO14" s="45"/>
      <c r="AWP14" s="45"/>
      <c r="AWQ14" s="45"/>
      <c r="AWR14" s="45"/>
      <c r="AWS14" s="45"/>
      <c r="AWT14" s="45"/>
    </row>
    <row r="15" spans="1:1294" s="68" customFormat="1" ht="19.05" customHeight="1">
      <c r="A15" s="53"/>
      <c r="B15" s="834"/>
      <c r="C15" s="72" t="s">
        <v>71</v>
      </c>
      <c r="D15" s="843"/>
      <c r="E15" s="80">
        <f>COUNTIFS(Table13514520105[[#All],[Sales]],"คุณธวัช มีแสง",Table13514520105[[#All],[ค่าขายอุปกรณ์]],"&gt;1")</f>
        <v>0</v>
      </c>
      <c r="F15" s="75">
        <f>SUMIF(Table13514520105[[#All],[Sales]],"คุณธวัช มีแสง",Table13514520105[[#All],[Total
คอมฯ อุปกรณ์]])</f>
        <v>0</v>
      </c>
      <c r="G15" s="75">
        <f t="shared" si="0"/>
        <v>0</v>
      </c>
      <c r="H15" s="75">
        <f t="shared" si="1"/>
        <v>0</v>
      </c>
      <c r="I15" s="51"/>
      <c r="J15" s="77"/>
      <c r="K15" s="45"/>
      <c r="L15" s="45"/>
      <c r="M15" s="45"/>
      <c r="N15" s="45"/>
      <c r="O15" s="45"/>
      <c r="P15" s="45"/>
      <c r="Q15" s="45"/>
      <c r="R15" s="45"/>
      <c r="S15" s="45"/>
      <c r="T15" s="45"/>
      <c r="U15" s="45"/>
      <c r="V15" s="45"/>
      <c r="W15" s="45"/>
      <c r="X15" s="45"/>
      <c r="Y15" s="45"/>
      <c r="Z15" s="45"/>
      <c r="AA15" s="45"/>
      <c r="AB15" s="45"/>
      <c r="AC15" s="45"/>
      <c r="AD15" s="45"/>
      <c r="AE15" s="45"/>
      <c r="AF15" s="45"/>
      <c r="AG15" s="45"/>
      <c r="AH15" s="45"/>
      <c r="AI15" s="45"/>
      <c r="AJ15" s="45"/>
      <c r="AK15" s="45"/>
      <c r="AL15" s="45"/>
      <c r="AM15" s="45"/>
      <c r="AN15" s="45"/>
      <c r="AO15" s="45"/>
      <c r="AP15" s="45"/>
      <c r="AQ15" s="45"/>
      <c r="AR15" s="45"/>
      <c r="AS15" s="45"/>
      <c r="AT15" s="45"/>
      <c r="AU15" s="45"/>
      <c r="AV15" s="45"/>
      <c r="AW15" s="45"/>
      <c r="AX15" s="45"/>
      <c r="AY15" s="45"/>
      <c r="AZ15" s="45"/>
      <c r="BA15" s="45"/>
      <c r="BB15" s="45"/>
      <c r="BC15" s="45"/>
      <c r="BD15" s="45"/>
      <c r="BE15" s="45"/>
      <c r="BF15" s="45"/>
      <c r="BG15" s="45"/>
      <c r="BH15" s="45"/>
      <c r="BI15" s="45"/>
      <c r="BJ15" s="45"/>
      <c r="BK15" s="45"/>
      <c r="BL15" s="45"/>
      <c r="BM15" s="45"/>
      <c r="BN15" s="45"/>
      <c r="BO15" s="45"/>
      <c r="BP15" s="45"/>
      <c r="BQ15" s="45"/>
      <c r="BR15" s="45"/>
      <c r="BS15" s="45"/>
      <c r="BT15" s="45"/>
      <c r="BU15" s="45"/>
      <c r="BV15" s="45"/>
      <c r="BW15" s="45"/>
      <c r="BX15" s="45"/>
      <c r="BY15" s="45"/>
      <c r="BZ15" s="45"/>
      <c r="CA15" s="45"/>
      <c r="CB15" s="45"/>
      <c r="CC15" s="45"/>
      <c r="CD15" s="45"/>
      <c r="CE15" s="45"/>
      <c r="CF15" s="45"/>
      <c r="CG15" s="45"/>
      <c r="CH15" s="45"/>
      <c r="CI15" s="45"/>
      <c r="CJ15" s="45"/>
      <c r="CK15" s="45"/>
      <c r="CL15" s="45"/>
      <c r="CM15" s="45"/>
      <c r="CN15" s="45"/>
      <c r="CO15" s="45"/>
      <c r="CP15" s="45"/>
      <c r="CQ15" s="45"/>
      <c r="CR15" s="45"/>
      <c r="CS15" s="45"/>
      <c r="CT15" s="45"/>
      <c r="CU15" s="45"/>
      <c r="CV15" s="45"/>
      <c r="CW15" s="45"/>
      <c r="CX15" s="45"/>
      <c r="CY15" s="45"/>
      <c r="CZ15" s="45"/>
      <c r="DA15" s="45"/>
      <c r="DB15" s="45"/>
      <c r="DC15" s="45"/>
      <c r="DD15" s="45"/>
      <c r="DE15" s="45"/>
      <c r="DF15" s="45"/>
      <c r="DG15" s="45"/>
      <c r="DH15" s="45"/>
      <c r="DI15" s="45"/>
      <c r="DJ15" s="45"/>
      <c r="DK15" s="45"/>
      <c r="DL15" s="45"/>
      <c r="DM15" s="45"/>
      <c r="DN15" s="45"/>
      <c r="DO15" s="45"/>
      <c r="DP15" s="45"/>
      <c r="DQ15" s="45"/>
      <c r="DR15" s="45"/>
      <c r="DS15" s="45"/>
      <c r="DT15" s="45"/>
      <c r="DU15" s="45"/>
      <c r="DV15" s="45"/>
      <c r="DW15" s="45"/>
      <c r="DX15" s="45"/>
      <c r="DY15" s="45"/>
      <c r="DZ15" s="45"/>
      <c r="EA15" s="45"/>
      <c r="EB15" s="45"/>
      <c r="EC15" s="45"/>
      <c r="ED15" s="45"/>
      <c r="EE15" s="45"/>
      <c r="EF15" s="45"/>
      <c r="EG15" s="45"/>
      <c r="EH15" s="45"/>
      <c r="EI15" s="45"/>
      <c r="EJ15" s="45"/>
      <c r="EK15" s="45"/>
      <c r="EL15" s="45"/>
      <c r="EM15" s="45"/>
      <c r="EN15" s="45"/>
      <c r="EO15" s="45"/>
      <c r="EP15" s="45"/>
      <c r="EQ15" s="45"/>
      <c r="ER15" s="45"/>
      <c r="ES15" s="45"/>
      <c r="ET15" s="45"/>
      <c r="EU15" s="45"/>
      <c r="EV15" s="45"/>
      <c r="EW15" s="45"/>
      <c r="EX15" s="45"/>
      <c r="EY15" s="45"/>
      <c r="EZ15" s="45"/>
      <c r="FA15" s="45"/>
      <c r="FB15" s="45"/>
      <c r="FC15" s="45"/>
      <c r="FD15" s="45"/>
      <c r="FE15" s="45"/>
      <c r="FF15" s="45"/>
      <c r="FG15" s="45"/>
      <c r="FH15" s="45"/>
      <c r="FI15" s="45"/>
      <c r="FJ15" s="45"/>
      <c r="FK15" s="45"/>
      <c r="FL15" s="45"/>
      <c r="FM15" s="45"/>
      <c r="FN15" s="45"/>
      <c r="FO15" s="45"/>
      <c r="FP15" s="45"/>
      <c r="FQ15" s="45"/>
      <c r="FR15" s="45"/>
      <c r="FS15" s="45"/>
      <c r="FT15" s="45"/>
      <c r="FU15" s="45"/>
      <c r="FV15" s="45"/>
      <c r="FW15" s="45"/>
      <c r="FX15" s="45"/>
      <c r="FY15" s="45"/>
      <c r="FZ15" s="45"/>
      <c r="GA15" s="45"/>
      <c r="GB15" s="45"/>
      <c r="GC15" s="45"/>
      <c r="GD15" s="45"/>
      <c r="GE15" s="45"/>
      <c r="GF15" s="45"/>
      <c r="GG15" s="45"/>
      <c r="GH15" s="45"/>
      <c r="GI15" s="45"/>
      <c r="GJ15" s="45"/>
      <c r="GK15" s="45"/>
      <c r="GL15" s="45"/>
      <c r="GM15" s="45"/>
      <c r="GN15" s="45"/>
      <c r="GO15" s="45"/>
      <c r="GP15" s="45"/>
      <c r="GQ15" s="45"/>
      <c r="GR15" s="45"/>
      <c r="GS15" s="45"/>
      <c r="GT15" s="45"/>
      <c r="GU15" s="45"/>
      <c r="GV15" s="45"/>
      <c r="GW15" s="45"/>
      <c r="GX15" s="45"/>
      <c r="GY15" s="45"/>
      <c r="GZ15" s="45"/>
      <c r="HA15" s="45"/>
      <c r="HB15" s="45"/>
      <c r="HC15" s="45"/>
      <c r="HD15" s="45"/>
      <c r="HE15" s="45"/>
      <c r="HF15" s="45"/>
      <c r="HG15" s="45"/>
      <c r="HH15" s="45"/>
      <c r="HI15" s="45"/>
      <c r="HJ15" s="45"/>
      <c r="HK15" s="45"/>
      <c r="HL15" s="45"/>
      <c r="HM15" s="45"/>
      <c r="HN15" s="45"/>
      <c r="HO15" s="45"/>
      <c r="HP15" s="45"/>
      <c r="HQ15" s="45"/>
      <c r="HR15" s="45"/>
      <c r="HS15" s="45"/>
      <c r="HT15" s="45"/>
      <c r="HU15" s="45"/>
      <c r="HV15" s="45"/>
      <c r="HW15" s="45"/>
      <c r="HX15" s="45"/>
      <c r="HY15" s="45"/>
      <c r="HZ15" s="45"/>
      <c r="IA15" s="45"/>
      <c r="IB15" s="45"/>
      <c r="IC15" s="45"/>
      <c r="ID15" s="45"/>
      <c r="IE15" s="45"/>
      <c r="IF15" s="45"/>
      <c r="IG15" s="45"/>
      <c r="IH15" s="45"/>
      <c r="II15" s="45"/>
      <c r="IJ15" s="45"/>
      <c r="IK15" s="45"/>
    </row>
    <row r="16" spans="1:1294" s="68" customFormat="1" ht="19.05" customHeight="1">
      <c r="A16" s="53"/>
      <c r="B16" s="834"/>
      <c r="C16" s="72" t="s">
        <v>72</v>
      </c>
      <c r="D16" s="843"/>
      <c r="E16" s="80">
        <f>COUNTIFS(Table13514520105[[#All],[Sales]],"คุณแดง มูลสองแคว",Table13514520105[[#All],[ค่าขายอุปกรณ์]],"&gt;1")</f>
        <v>0</v>
      </c>
      <c r="F16" s="75">
        <f>SUMIF(Table13514520105[[#All],[Sales]],"คุณแดง มูลสองแคว",Table13514520105[[#All],[Total
คอมฯ อุปกรณ์]])</f>
        <v>0</v>
      </c>
      <c r="G16" s="75">
        <f t="shared" si="0"/>
        <v>0</v>
      </c>
      <c r="H16" s="75">
        <f t="shared" si="1"/>
        <v>0</v>
      </c>
      <c r="I16" s="51"/>
      <c r="J16" s="77"/>
      <c r="K16" s="45"/>
      <c r="L16" s="45"/>
      <c r="M16" s="45"/>
      <c r="N16" s="45"/>
      <c r="O16" s="45"/>
      <c r="P16" s="45"/>
      <c r="Q16" s="45"/>
      <c r="R16" s="45"/>
      <c r="S16" s="45"/>
      <c r="T16" s="45"/>
      <c r="U16" s="45"/>
      <c r="V16" s="45"/>
      <c r="W16" s="45"/>
      <c r="X16" s="45"/>
      <c r="Y16" s="45"/>
      <c r="Z16" s="45"/>
      <c r="AA16" s="45"/>
      <c r="AB16" s="45"/>
      <c r="AC16" s="45"/>
      <c r="AD16" s="45"/>
      <c r="AE16" s="45"/>
      <c r="AF16" s="45"/>
      <c r="AG16" s="45"/>
      <c r="AH16" s="45"/>
      <c r="AI16" s="45"/>
      <c r="AJ16" s="45"/>
      <c r="AK16" s="45"/>
      <c r="AL16" s="45"/>
      <c r="AM16" s="45"/>
      <c r="AN16" s="45"/>
      <c r="AO16" s="45"/>
      <c r="AP16" s="45"/>
      <c r="AQ16" s="45"/>
      <c r="AR16" s="45"/>
      <c r="AS16" s="45"/>
      <c r="AT16" s="45"/>
      <c r="AU16" s="45"/>
      <c r="AV16" s="45"/>
      <c r="AW16" s="45"/>
      <c r="AX16" s="45"/>
      <c r="AY16" s="45"/>
      <c r="AZ16" s="45"/>
      <c r="BA16" s="45"/>
      <c r="BB16" s="45"/>
      <c r="BC16" s="45"/>
      <c r="BD16" s="45"/>
      <c r="BE16" s="45"/>
      <c r="BF16" s="45"/>
      <c r="BG16" s="45"/>
      <c r="BH16" s="45"/>
      <c r="BI16" s="45"/>
      <c r="BJ16" s="45"/>
      <c r="BK16" s="45"/>
      <c r="BL16" s="45"/>
      <c r="BM16" s="45"/>
      <c r="BN16" s="45"/>
      <c r="BO16" s="45"/>
      <c r="BP16" s="45"/>
      <c r="BQ16" s="45"/>
      <c r="BR16" s="45"/>
      <c r="BS16" s="45"/>
      <c r="BT16" s="45"/>
      <c r="BU16" s="45"/>
      <c r="BV16" s="45"/>
      <c r="BW16" s="45"/>
      <c r="BX16" s="45"/>
      <c r="BY16" s="45"/>
      <c r="BZ16" s="45"/>
      <c r="CA16" s="45"/>
      <c r="CB16" s="45"/>
      <c r="CC16" s="45"/>
      <c r="CD16" s="45"/>
      <c r="CE16" s="45"/>
      <c r="CF16" s="45"/>
      <c r="CG16" s="45"/>
      <c r="CH16" s="45"/>
      <c r="CI16" s="45"/>
      <c r="CJ16" s="45"/>
      <c r="CK16" s="45"/>
      <c r="CL16" s="45"/>
      <c r="CM16" s="45"/>
      <c r="CN16" s="45"/>
      <c r="CO16" s="45"/>
      <c r="CP16" s="45"/>
      <c r="CQ16" s="45"/>
      <c r="CR16" s="45"/>
      <c r="CS16" s="45"/>
      <c r="CT16" s="45"/>
      <c r="CU16" s="45"/>
      <c r="CV16" s="45"/>
      <c r="CW16" s="45"/>
      <c r="CX16" s="45"/>
      <c r="CY16" s="45"/>
      <c r="CZ16" s="45"/>
      <c r="DA16" s="45"/>
      <c r="DB16" s="45"/>
      <c r="DC16" s="45"/>
      <c r="DD16" s="45"/>
      <c r="DE16" s="45"/>
      <c r="DF16" s="45"/>
      <c r="DG16" s="45"/>
      <c r="DH16" s="45"/>
      <c r="DI16" s="45"/>
      <c r="DJ16" s="45"/>
      <c r="DK16" s="45"/>
      <c r="DL16" s="45"/>
      <c r="DM16" s="45"/>
      <c r="DN16" s="45"/>
      <c r="DO16" s="45"/>
      <c r="DP16" s="45"/>
      <c r="DQ16" s="45"/>
      <c r="DR16" s="45"/>
      <c r="DS16" s="45"/>
      <c r="DT16" s="45"/>
      <c r="DU16" s="45"/>
      <c r="DV16" s="45"/>
      <c r="DW16" s="45"/>
      <c r="DX16" s="45"/>
      <c r="DY16" s="45"/>
      <c r="DZ16" s="45"/>
      <c r="EA16" s="45"/>
      <c r="EB16" s="45"/>
      <c r="EC16" s="45"/>
      <c r="ED16" s="45"/>
      <c r="EE16" s="45"/>
      <c r="EF16" s="45"/>
      <c r="EG16" s="45"/>
      <c r="EH16" s="45"/>
      <c r="EI16" s="45"/>
      <c r="EJ16" s="45"/>
      <c r="EK16" s="45"/>
      <c r="EL16" s="45"/>
      <c r="EM16" s="45"/>
      <c r="EN16" s="45"/>
      <c r="EO16" s="45"/>
      <c r="EP16" s="45"/>
      <c r="EQ16" s="45"/>
      <c r="ER16" s="45"/>
      <c r="ES16" s="45"/>
      <c r="ET16" s="45"/>
      <c r="EU16" s="45"/>
      <c r="EV16" s="45"/>
      <c r="EW16" s="45"/>
      <c r="EX16" s="45"/>
      <c r="EY16" s="45"/>
      <c r="EZ16" s="45"/>
      <c r="FA16" s="45"/>
      <c r="FB16" s="45"/>
      <c r="FC16" s="45"/>
      <c r="FD16" s="45"/>
      <c r="FE16" s="45"/>
      <c r="FF16" s="45"/>
      <c r="FG16" s="45"/>
      <c r="FH16" s="45"/>
      <c r="FI16" s="45"/>
      <c r="FJ16" s="45"/>
      <c r="FK16" s="45"/>
      <c r="FL16" s="45"/>
      <c r="FM16" s="45"/>
      <c r="FN16" s="45"/>
      <c r="FO16" s="45"/>
      <c r="FP16" s="45"/>
      <c r="FQ16" s="45"/>
      <c r="FR16" s="45"/>
      <c r="FS16" s="45"/>
      <c r="FT16" s="45"/>
      <c r="FU16" s="45"/>
      <c r="FV16" s="45"/>
      <c r="FW16" s="45"/>
      <c r="FX16" s="45"/>
      <c r="FY16" s="45"/>
      <c r="FZ16" s="45"/>
      <c r="GA16" s="45"/>
      <c r="GB16" s="45"/>
      <c r="GC16" s="45"/>
      <c r="GD16" s="45"/>
      <c r="GE16" s="45"/>
      <c r="GF16" s="45"/>
      <c r="GG16" s="45"/>
      <c r="GH16" s="45"/>
      <c r="GI16" s="45"/>
      <c r="GJ16" s="45"/>
      <c r="GK16" s="45"/>
      <c r="GL16" s="45"/>
      <c r="GM16" s="45"/>
      <c r="GN16" s="45"/>
      <c r="GO16" s="45"/>
      <c r="GP16" s="45"/>
      <c r="GQ16" s="45"/>
      <c r="GR16" s="45"/>
      <c r="GS16" s="45"/>
      <c r="GT16" s="45"/>
      <c r="GU16" s="45"/>
      <c r="GV16" s="45"/>
      <c r="GW16" s="45"/>
      <c r="GX16" s="45"/>
      <c r="GY16" s="45"/>
      <c r="GZ16" s="45"/>
      <c r="HA16" s="45"/>
      <c r="HB16" s="45"/>
      <c r="HC16" s="45"/>
      <c r="HD16" s="45"/>
      <c r="HE16" s="45"/>
      <c r="HF16" s="45"/>
      <c r="HG16" s="45"/>
      <c r="HH16" s="45"/>
      <c r="HI16" s="45"/>
      <c r="HJ16" s="45"/>
      <c r="HK16" s="45"/>
      <c r="HL16" s="45"/>
      <c r="HM16" s="45"/>
      <c r="HN16" s="45"/>
      <c r="HO16" s="45"/>
      <c r="HP16" s="45"/>
      <c r="HQ16" s="45"/>
      <c r="HR16" s="45"/>
      <c r="HS16" s="45"/>
      <c r="HT16" s="45"/>
      <c r="HU16" s="45"/>
      <c r="HV16" s="45"/>
      <c r="HW16" s="45"/>
      <c r="HX16" s="45"/>
      <c r="HY16" s="45"/>
      <c r="HZ16" s="45"/>
      <c r="IA16" s="45"/>
      <c r="IB16" s="45"/>
      <c r="IC16" s="45"/>
      <c r="ID16" s="45"/>
      <c r="IE16" s="45"/>
      <c r="IF16" s="45"/>
      <c r="IG16" s="45"/>
      <c r="IH16" s="45"/>
      <c r="II16" s="45"/>
      <c r="IJ16" s="45"/>
      <c r="IK16" s="45"/>
    </row>
    <row r="17" spans="1:245" s="68" customFormat="1" ht="19.05" customHeight="1">
      <c r="A17" s="53"/>
      <c r="B17" s="834"/>
      <c r="C17" s="136" t="s">
        <v>73</v>
      </c>
      <c r="D17" s="843"/>
      <c r="E17" s="80">
        <f>COUNTIFS(Table13514520105[[#All],[Sales]],"คุณนิยนต์ อยู่ทะเล",Table13514520105[[#All],[ค่าขายอุปกรณ์]],"&gt;1")</f>
        <v>0</v>
      </c>
      <c r="F17" s="75">
        <f>SUMIF(Table13514520105[[#All],[Sales]],"คุณนิยนต์ อยู่ทะเล",Table13514520105[[#All],[Total
คอมฯ อุปกรณ์]])</f>
        <v>0</v>
      </c>
      <c r="G17" s="75">
        <f t="shared" ref="G17:G23" si="3">F17*$G$3</f>
        <v>0</v>
      </c>
      <c r="H17" s="75">
        <f t="shared" si="1"/>
        <v>0</v>
      </c>
      <c r="I17" s="51"/>
      <c r="J17" s="77"/>
      <c r="K17" s="45"/>
      <c r="L17" s="45"/>
      <c r="M17" s="45"/>
      <c r="N17" s="45"/>
      <c r="O17" s="45"/>
      <c r="P17" s="45"/>
      <c r="Q17" s="45"/>
      <c r="R17" s="45"/>
      <c r="S17" s="45"/>
      <c r="T17" s="45"/>
      <c r="U17" s="45"/>
      <c r="V17" s="45"/>
      <c r="W17" s="45"/>
      <c r="X17" s="45"/>
      <c r="Y17" s="45"/>
      <c r="Z17" s="45"/>
      <c r="AA17" s="45"/>
      <c r="AB17" s="45"/>
      <c r="AC17" s="45"/>
      <c r="AD17" s="45"/>
      <c r="AE17" s="45"/>
      <c r="AF17" s="45"/>
      <c r="AG17" s="45"/>
      <c r="AH17" s="45"/>
      <c r="AI17" s="45"/>
      <c r="AJ17" s="45"/>
      <c r="AK17" s="45"/>
      <c r="AL17" s="45"/>
      <c r="AM17" s="45"/>
      <c r="AN17" s="45"/>
      <c r="AO17" s="45"/>
      <c r="AP17" s="45"/>
      <c r="AQ17" s="45"/>
      <c r="AR17" s="45"/>
      <c r="AS17" s="45"/>
      <c r="AT17" s="45"/>
      <c r="AU17" s="45"/>
      <c r="AV17" s="45"/>
      <c r="AW17" s="45"/>
      <c r="AX17" s="45"/>
      <c r="AY17" s="45"/>
      <c r="AZ17" s="45"/>
      <c r="BA17" s="45"/>
      <c r="BB17" s="45"/>
      <c r="BC17" s="45"/>
      <c r="BD17" s="45"/>
      <c r="BE17" s="45"/>
      <c r="BF17" s="45"/>
      <c r="BG17" s="45"/>
      <c r="BH17" s="45"/>
      <c r="BI17" s="45"/>
      <c r="BJ17" s="45"/>
      <c r="BK17" s="45"/>
      <c r="BL17" s="45"/>
      <c r="BM17" s="45"/>
      <c r="BN17" s="45"/>
      <c r="BO17" s="45"/>
      <c r="BP17" s="45"/>
      <c r="BQ17" s="45"/>
      <c r="BR17" s="45"/>
      <c r="BS17" s="45"/>
      <c r="BT17" s="45"/>
      <c r="BU17" s="45"/>
      <c r="BV17" s="45"/>
      <c r="BW17" s="45"/>
      <c r="BX17" s="45"/>
      <c r="BY17" s="45"/>
      <c r="BZ17" s="45"/>
      <c r="CA17" s="45"/>
      <c r="CB17" s="45"/>
      <c r="CC17" s="45"/>
      <c r="CD17" s="45"/>
      <c r="CE17" s="45"/>
      <c r="CF17" s="45"/>
      <c r="CG17" s="45"/>
      <c r="CH17" s="45"/>
      <c r="CI17" s="45"/>
      <c r="CJ17" s="45"/>
      <c r="CK17" s="45"/>
      <c r="CL17" s="45"/>
      <c r="CM17" s="45"/>
      <c r="CN17" s="45"/>
      <c r="CO17" s="45"/>
      <c r="CP17" s="45"/>
      <c r="CQ17" s="45"/>
      <c r="CR17" s="45"/>
      <c r="CS17" s="45"/>
      <c r="CT17" s="45"/>
      <c r="CU17" s="45"/>
      <c r="CV17" s="45"/>
      <c r="CW17" s="45"/>
      <c r="CX17" s="45"/>
      <c r="CY17" s="45"/>
      <c r="CZ17" s="45"/>
      <c r="DA17" s="45"/>
      <c r="DB17" s="45"/>
      <c r="DC17" s="45"/>
      <c r="DD17" s="45"/>
      <c r="DE17" s="45"/>
      <c r="DF17" s="45"/>
      <c r="DG17" s="45"/>
      <c r="DH17" s="45"/>
      <c r="DI17" s="45"/>
      <c r="DJ17" s="45"/>
      <c r="DK17" s="45"/>
      <c r="DL17" s="45"/>
      <c r="DM17" s="45"/>
      <c r="DN17" s="45"/>
      <c r="DO17" s="45"/>
      <c r="DP17" s="45"/>
      <c r="DQ17" s="45"/>
      <c r="DR17" s="45"/>
      <c r="DS17" s="45"/>
      <c r="DT17" s="45"/>
      <c r="DU17" s="45"/>
      <c r="DV17" s="45"/>
      <c r="DW17" s="45"/>
      <c r="DX17" s="45"/>
      <c r="DY17" s="45"/>
      <c r="DZ17" s="45"/>
      <c r="EA17" s="45"/>
      <c r="EB17" s="45"/>
      <c r="EC17" s="45"/>
      <c r="ED17" s="45"/>
      <c r="EE17" s="45"/>
      <c r="EF17" s="45"/>
      <c r="EG17" s="45"/>
      <c r="EH17" s="45"/>
      <c r="EI17" s="45"/>
      <c r="EJ17" s="45"/>
      <c r="EK17" s="45"/>
      <c r="EL17" s="45"/>
      <c r="EM17" s="45"/>
      <c r="EN17" s="45"/>
      <c r="EO17" s="45"/>
      <c r="EP17" s="45"/>
      <c r="EQ17" s="45"/>
      <c r="ER17" s="45"/>
      <c r="ES17" s="45"/>
      <c r="ET17" s="45"/>
      <c r="EU17" s="45"/>
      <c r="EV17" s="45"/>
      <c r="EW17" s="45"/>
      <c r="EX17" s="45"/>
      <c r="EY17" s="45"/>
      <c r="EZ17" s="45"/>
      <c r="FA17" s="45"/>
      <c r="FB17" s="45"/>
      <c r="FC17" s="45"/>
      <c r="FD17" s="45"/>
      <c r="FE17" s="45"/>
      <c r="FF17" s="45"/>
      <c r="FG17" s="45"/>
      <c r="FH17" s="45"/>
      <c r="FI17" s="45"/>
      <c r="FJ17" s="45"/>
      <c r="FK17" s="45"/>
      <c r="FL17" s="45"/>
      <c r="FM17" s="45"/>
      <c r="FN17" s="45"/>
      <c r="FO17" s="45"/>
      <c r="FP17" s="45"/>
      <c r="FQ17" s="45"/>
      <c r="FR17" s="45"/>
      <c r="FS17" s="45"/>
      <c r="FT17" s="45"/>
      <c r="FU17" s="45"/>
      <c r="FV17" s="45"/>
      <c r="FW17" s="45"/>
      <c r="FX17" s="45"/>
      <c r="FY17" s="45"/>
      <c r="FZ17" s="45"/>
      <c r="GA17" s="45"/>
      <c r="GB17" s="45"/>
      <c r="GC17" s="45"/>
      <c r="GD17" s="45"/>
      <c r="GE17" s="45"/>
      <c r="GF17" s="45"/>
      <c r="GG17" s="45"/>
      <c r="GH17" s="45"/>
      <c r="GI17" s="45"/>
      <c r="GJ17" s="45"/>
      <c r="GK17" s="45"/>
      <c r="GL17" s="45"/>
      <c r="GM17" s="45"/>
      <c r="GN17" s="45"/>
      <c r="GO17" s="45"/>
      <c r="GP17" s="45"/>
      <c r="GQ17" s="45"/>
      <c r="GR17" s="45"/>
      <c r="GS17" s="45"/>
      <c r="GT17" s="45"/>
      <c r="GU17" s="45"/>
      <c r="GV17" s="45"/>
      <c r="GW17" s="45"/>
      <c r="GX17" s="45"/>
      <c r="GY17" s="45"/>
      <c r="GZ17" s="45"/>
      <c r="HA17" s="45"/>
      <c r="HB17" s="45"/>
      <c r="HC17" s="45"/>
      <c r="HD17" s="45"/>
      <c r="HE17" s="45"/>
      <c r="HF17" s="45"/>
      <c r="HG17" s="45"/>
      <c r="HH17" s="45"/>
      <c r="HI17" s="45"/>
      <c r="HJ17" s="45"/>
      <c r="HK17" s="45"/>
      <c r="HL17" s="45"/>
      <c r="HM17" s="45"/>
      <c r="HN17" s="45"/>
      <c r="HO17" s="45"/>
      <c r="HP17" s="45"/>
      <c r="HQ17" s="45"/>
      <c r="HR17" s="45"/>
      <c r="HS17" s="45"/>
      <c r="HT17" s="45"/>
      <c r="HU17" s="45"/>
      <c r="HV17" s="45"/>
      <c r="HW17" s="45"/>
      <c r="HX17" s="45"/>
      <c r="HY17" s="45"/>
      <c r="HZ17" s="45"/>
      <c r="IA17" s="45"/>
      <c r="IB17" s="45"/>
      <c r="IC17" s="45"/>
      <c r="ID17" s="45"/>
      <c r="IE17" s="45"/>
      <c r="IF17" s="45"/>
      <c r="IG17" s="45"/>
      <c r="IH17" s="45"/>
      <c r="II17" s="45"/>
      <c r="IJ17" s="45"/>
      <c r="IK17" s="45"/>
    </row>
    <row r="18" spans="1:245" s="68" customFormat="1" ht="19.05" customHeight="1">
      <c r="A18" s="53"/>
      <c r="B18" s="834"/>
      <c r="C18" s="142" t="s">
        <v>67</v>
      </c>
      <c r="D18" s="843"/>
      <c r="E18" s="80">
        <f>COUNTIFS(Table13514520105[[#All],[Sales]],"คุณรุ่งอรุณ อินบุญรอด",Table13514520105[[#All],[ค่าขายอุปกรณ์]],"&gt;1")</f>
        <v>0</v>
      </c>
      <c r="F18" s="75">
        <f>SUMIF(Table13514520105[[#All],[Sales]],"คุณรุ่งอรุณ อินบุญรอด",Table13514520105[[#All],[Total
คอมฯ อุปกรณ์]])</f>
        <v>0</v>
      </c>
      <c r="G18" s="75">
        <f t="shared" si="3"/>
        <v>0</v>
      </c>
      <c r="H18" s="75">
        <f t="shared" si="1"/>
        <v>0</v>
      </c>
      <c r="I18" s="51"/>
      <c r="J18" s="77"/>
      <c r="K18" s="45"/>
      <c r="L18" s="45"/>
      <c r="M18" s="45"/>
      <c r="N18" s="45"/>
      <c r="O18" s="45"/>
      <c r="P18" s="45"/>
      <c r="Q18" s="45"/>
      <c r="R18" s="45"/>
      <c r="S18" s="45"/>
      <c r="T18" s="45"/>
      <c r="U18" s="45"/>
      <c r="V18" s="45"/>
      <c r="W18" s="45"/>
      <c r="X18" s="45"/>
      <c r="Y18" s="45"/>
      <c r="Z18" s="45"/>
      <c r="AA18" s="45"/>
      <c r="AB18" s="45"/>
      <c r="AC18" s="45"/>
      <c r="AD18" s="45"/>
      <c r="AE18" s="45"/>
      <c r="AF18" s="45"/>
      <c r="AG18" s="45"/>
      <c r="AH18" s="45"/>
      <c r="AI18" s="45"/>
      <c r="AJ18" s="45"/>
      <c r="AK18" s="45"/>
      <c r="AL18" s="45"/>
      <c r="AM18" s="45"/>
      <c r="AN18" s="45"/>
      <c r="AO18" s="45"/>
      <c r="AP18" s="45"/>
      <c r="AQ18" s="45"/>
      <c r="AR18" s="45"/>
      <c r="AS18" s="45"/>
      <c r="AT18" s="45"/>
      <c r="AU18" s="45"/>
      <c r="AV18" s="45"/>
      <c r="AW18" s="45"/>
      <c r="AX18" s="45"/>
      <c r="AY18" s="45"/>
      <c r="AZ18" s="45"/>
      <c r="BA18" s="45"/>
      <c r="BB18" s="45"/>
      <c r="BC18" s="45"/>
      <c r="BD18" s="45"/>
      <c r="BE18" s="45"/>
      <c r="BF18" s="45"/>
      <c r="BG18" s="45"/>
      <c r="BH18" s="45"/>
      <c r="BI18" s="45"/>
      <c r="BJ18" s="45"/>
      <c r="BK18" s="45"/>
      <c r="BL18" s="45"/>
      <c r="BM18" s="45"/>
      <c r="BN18" s="45"/>
      <c r="BO18" s="45"/>
      <c r="BP18" s="45"/>
      <c r="BQ18" s="45"/>
      <c r="BR18" s="45"/>
      <c r="BS18" s="45"/>
      <c r="BT18" s="45"/>
      <c r="BU18" s="45"/>
      <c r="BV18" s="45"/>
      <c r="BW18" s="45"/>
      <c r="BX18" s="45"/>
      <c r="BY18" s="45"/>
      <c r="BZ18" s="45"/>
      <c r="CA18" s="45"/>
      <c r="CB18" s="45"/>
      <c r="CC18" s="45"/>
      <c r="CD18" s="45"/>
      <c r="CE18" s="45"/>
      <c r="CF18" s="45"/>
      <c r="CG18" s="45"/>
      <c r="CH18" s="45"/>
      <c r="CI18" s="45"/>
      <c r="CJ18" s="45"/>
      <c r="CK18" s="45"/>
      <c r="CL18" s="45"/>
      <c r="CM18" s="45"/>
      <c r="CN18" s="45"/>
      <c r="CO18" s="45"/>
      <c r="CP18" s="45"/>
      <c r="CQ18" s="45"/>
      <c r="CR18" s="45"/>
      <c r="CS18" s="45"/>
      <c r="CT18" s="45"/>
      <c r="CU18" s="45"/>
      <c r="CV18" s="45"/>
      <c r="CW18" s="45"/>
      <c r="CX18" s="45"/>
      <c r="CY18" s="45"/>
      <c r="CZ18" s="45"/>
      <c r="DA18" s="45"/>
      <c r="DB18" s="45"/>
      <c r="DC18" s="45"/>
      <c r="DD18" s="45"/>
      <c r="DE18" s="45"/>
      <c r="DF18" s="45"/>
      <c r="DG18" s="45"/>
      <c r="DH18" s="45"/>
      <c r="DI18" s="45"/>
      <c r="DJ18" s="45"/>
      <c r="DK18" s="45"/>
      <c r="DL18" s="45"/>
      <c r="DM18" s="45"/>
      <c r="DN18" s="45"/>
      <c r="DO18" s="45"/>
      <c r="DP18" s="45"/>
      <c r="DQ18" s="45"/>
      <c r="DR18" s="45"/>
      <c r="DS18" s="45"/>
      <c r="DT18" s="45"/>
      <c r="DU18" s="45"/>
      <c r="DV18" s="45"/>
      <c r="DW18" s="45"/>
      <c r="DX18" s="45"/>
      <c r="DY18" s="45"/>
      <c r="DZ18" s="45"/>
      <c r="EA18" s="45"/>
      <c r="EB18" s="45"/>
      <c r="EC18" s="45"/>
      <c r="ED18" s="45"/>
      <c r="EE18" s="45"/>
      <c r="EF18" s="45"/>
      <c r="EG18" s="45"/>
      <c r="EH18" s="45"/>
      <c r="EI18" s="45"/>
      <c r="EJ18" s="45"/>
      <c r="EK18" s="45"/>
      <c r="EL18" s="45"/>
      <c r="EM18" s="45"/>
      <c r="EN18" s="45"/>
      <c r="EO18" s="45"/>
      <c r="EP18" s="45"/>
      <c r="EQ18" s="45"/>
      <c r="ER18" s="45"/>
      <c r="ES18" s="45"/>
      <c r="ET18" s="45"/>
      <c r="EU18" s="45"/>
      <c r="EV18" s="45"/>
      <c r="EW18" s="45"/>
      <c r="EX18" s="45"/>
      <c r="EY18" s="45"/>
      <c r="EZ18" s="45"/>
      <c r="FA18" s="45"/>
      <c r="FB18" s="45"/>
      <c r="FC18" s="45"/>
      <c r="FD18" s="45"/>
      <c r="FE18" s="45"/>
      <c r="FF18" s="45"/>
      <c r="FG18" s="45"/>
      <c r="FH18" s="45"/>
      <c r="FI18" s="45"/>
      <c r="FJ18" s="45"/>
      <c r="FK18" s="45"/>
      <c r="FL18" s="45"/>
      <c r="FM18" s="45"/>
      <c r="FN18" s="45"/>
      <c r="FO18" s="45"/>
      <c r="FP18" s="45"/>
      <c r="FQ18" s="45"/>
      <c r="FR18" s="45"/>
      <c r="FS18" s="45"/>
      <c r="FT18" s="45"/>
      <c r="FU18" s="45"/>
      <c r="FV18" s="45"/>
      <c r="FW18" s="45"/>
      <c r="FX18" s="45"/>
      <c r="FY18" s="45"/>
      <c r="FZ18" s="45"/>
      <c r="GA18" s="45"/>
      <c r="GB18" s="45"/>
      <c r="GC18" s="45"/>
      <c r="GD18" s="45"/>
      <c r="GE18" s="45"/>
      <c r="GF18" s="45"/>
      <c r="GG18" s="45"/>
      <c r="GH18" s="45"/>
      <c r="GI18" s="45"/>
      <c r="GJ18" s="45"/>
      <c r="GK18" s="45"/>
      <c r="GL18" s="45"/>
      <c r="GM18" s="45"/>
      <c r="GN18" s="45"/>
      <c r="GO18" s="45"/>
      <c r="GP18" s="45"/>
      <c r="GQ18" s="45"/>
      <c r="GR18" s="45"/>
      <c r="GS18" s="45"/>
      <c r="GT18" s="45"/>
      <c r="GU18" s="45"/>
      <c r="GV18" s="45"/>
      <c r="GW18" s="45"/>
      <c r="GX18" s="45"/>
      <c r="GY18" s="45"/>
      <c r="GZ18" s="45"/>
      <c r="HA18" s="45"/>
      <c r="HB18" s="45"/>
      <c r="HC18" s="45"/>
      <c r="HD18" s="45"/>
      <c r="HE18" s="45"/>
      <c r="HF18" s="45"/>
      <c r="HG18" s="45"/>
      <c r="HH18" s="45"/>
      <c r="HI18" s="45"/>
      <c r="HJ18" s="45"/>
      <c r="HK18" s="45"/>
      <c r="HL18" s="45"/>
      <c r="HM18" s="45"/>
      <c r="HN18" s="45"/>
      <c r="HO18" s="45"/>
      <c r="HP18" s="45"/>
      <c r="HQ18" s="45"/>
      <c r="HR18" s="45"/>
      <c r="HS18" s="45"/>
      <c r="HT18" s="45"/>
      <c r="HU18" s="45"/>
      <c r="HV18" s="45"/>
      <c r="HW18" s="45"/>
      <c r="HX18" s="45"/>
      <c r="HY18" s="45"/>
      <c r="HZ18" s="45"/>
      <c r="IA18" s="45"/>
      <c r="IB18" s="45"/>
      <c r="IC18" s="45"/>
      <c r="ID18" s="45"/>
      <c r="IE18" s="45"/>
      <c r="IF18" s="45"/>
      <c r="IG18" s="45"/>
      <c r="IH18" s="45"/>
      <c r="II18" s="45"/>
      <c r="IJ18" s="45"/>
      <c r="IK18" s="45"/>
    </row>
    <row r="19" spans="1:245" s="68" customFormat="1" ht="19.05" customHeight="1">
      <c r="A19" s="53"/>
      <c r="B19" s="834"/>
      <c r="C19" s="191" t="s">
        <v>68</v>
      </c>
      <c r="D19" s="843"/>
      <c r="E19" s="80">
        <f>COUNTIFS(Table13514520105[[#All],[Sales]],"คุณศศินาถ จุ้ยอยู่ทอง",Table13514520105[[#All],[ค่าขายอุปกรณ์]],"&gt;1")</f>
        <v>0</v>
      </c>
      <c r="F19" s="75">
        <f>SUMIF(Table13514520105[[#All],[Sales]],"คุณศศินาถ จุ้ยอยู่ทอง",Table13514520105[[#All],[Total
คอมฯ อุปกรณ์]])</f>
        <v>0</v>
      </c>
      <c r="G19" s="75">
        <f t="shared" si="3"/>
        <v>0</v>
      </c>
      <c r="H19" s="75">
        <f t="shared" si="1"/>
        <v>0</v>
      </c>
      <c r="I19" s="51"/>
      <c r="J19" s="77"/>
      <c r="K19" s="45"/>
      <c r="L19" s="45"/>
      <c r="M19" s="45"/>
      <c r="N19" s="45"/>
      <c r="O19" s="45"/>
      <c r="P19" s="45"/>
      <c r="Q19" s="45"/>
      <c r="R19" s="45"/>
      <c r="S19" s="45"/>
      <c r="T19" s="45"/>
      <c r="U19" s="45"/>
      <c r="V19" s="45"/>
      <c r="W19" s="45"/>
      <c r="X19" s="45"/>
      <c r="Y19" s="45"/>
      <c r="Z19" s="45"/>
      <c r="AA19" s="45"/>
      <c r="AB19" s="45"/>
      <c r="AC19" s="45"/>
      <c r="AD19" s="45"/>
      <c r="AE19" s="45"/>
      <c r="AF19" s="45"/>
      <c r="AG19" s="45"/>
      <c r="AH19" s="45"/>
      <c r="AI19" s="45"/>
      <c r="AJ19" s="45"/>
      <c r="AK19" s="45"/>
      <c r="AL19" s="45"/>
      <c r="AM19" s="45"/>
      <c r="AN19" s="45"/>
      <c r="AO19" s="45"/>
      <c r="AP19" s="45"/>
      <c r="AQ19" s="45"/>
      <c r="AR19" s="45"/>
      <c r="AS19" s="45"/>
      <c r="AT19" s="45"/>
      <c r="AU19" s="45"/>
      <c r="AV19" s="45"/>
      <c r="AW19" s="45"/>
      <c r="AX19" s="45"/>
      <c r="AY19" s="45"/>
      <c r="AZ19" s="45"/>
      <c r="BA19" s="45"/>
      <c r="BB19" s="45"/>
      <c r="BC19" s="45"/>
      <c r="BD19" s="45"/>
      <c r="BE19" s="45"/>
      <c r="BF19" s="45"/>
      <c r="BG19" s="45"/>
      <c r="BH19" s="45"/>
      <c r="BI19" s="45"/>
      <c r="BJ19" s="45"/>
      <c r="BK19" s="45"/>
      <c r="BL19" s="45"/>
      <c r="BM19" s="45"/>
      <c r="BN19" s="45"/>
      <c r="BO19" s="45"/>
      <c r="BP19" s="45"/>
      <c r="BQ19" s="45"/>
      <c r="BR19" s="45"/>
      <c r="BS19" s="45"/>
      <c r="BT19" s="45"/>
      <c r="BU19" s="45"/>
      <c r="BV19" s="45"/>
      <c r="BW19" s="45"/>
      <c r="BX19" s="45"/>
      <c r="BY19" s="45"/>
      <c r="BZ19" s="45"/>
      <c r="CA19" s="45"/>
      <c r="CB19" s="45"/>
      <c r="CC19" s="45"/>
      <c r="CD19" s="45"/>
      <c r="CE19" s="45"/>
      <c r="CF19" s="45"/>
      <c r="CG19" s="45"/>
      <c r="CH19" s="45"/>
      <c r="CI19" s="45"/>
      <c r="CJ19" s="45"/>
      <c r="CK19" s="45"/>
      <c r="CL19" s="45"/>
      <c r="CM19" s="45"/>
      <c r="CN19" s="45"/>
      <c r="CO19" s="45"/>
      <c r="CP19" s="45"/>
      <c r="CQ19" s="45"/>
      <c r="CR19" s="45"/>
      <c r="CS19" s="45"/>
      <c r="CT19" s="45"/>
      <c r="CU19" s="45"/>
      <c r="CV19" s="45"/>
      <c r="CW19" s="45"/>
      <c r="CX19" s="45"/>
      <c r="CY19" s="45"/>
      <c r="CZ19" s="45"/>
      <c r="DA19" s="45"/>
      <c r="DB19" s="45"/>
      <c r="DC19" s="45"/>
      <c r="DD19" s="45"/>
      <c r="DE19" s="45"/>
      <c r="DF19" s="45"/>
      <c r="DG19" s="45"/>
      <c r="DH19" s="45"/>
      <c r="DI19" s="45"/>
      <c r="DJ19" s="45"/>
      <c r="DK19" s="45"/>
      <c r="DL19" s="45"/>
      <c r="DM19" s="45"/>
      <c r="DN19" s="45"/>
      <c r="DO19" s="45"/>
      <c r="DP19" s="45"/>
      <c r="DQ19" s="45"/>
      <c r="DR19" s="45"/>
      <c r="DS19" s="45"/>
      <c r="DT19" s="45"/>
      <c r="DU19" s="45"/>
      <c r="DV19" s="45"/>
      <c r="DW19" s="45"/>
      <c r="DX19" s="45"/>
      <c r="DY19" s="45"/>
      <c r="DZ19" s="45"/>
      <c r="EA19" s="45"/>
      <c r="EB19" s="45"/>
      <c r="EC19" s="45"/>
      <c r="ED19" s="45"/>
      <c r="EE19" s="45"/>
      <c r="EF19" s="45"/>
      <c r="EG19" s="45"/>
      <c r="EH19" s="45"/>
      <c r="EI19" s="45"/>
      <c r="EJ19" s="45"/>
      <c r="EK19" s="45"/>
      <c r="EL19" s="45"/>
      <c r="EM19" s="45"/>
      <c r="EN19" s="45"/>
      <c r="EO19" s="45"/>
      <c r="EP19" s="45"/>
      <c r="EQ19" s="45"/>
      <c r="ER19" s="45"/>
      <c r="ES19" s="45"/>
      <c r="ET19" s="45"/>
      <c r="EU19" s="45"/>
      <c r="EV19" s="45"/>
      <c r="EW19" s="45"/>
      <c r="EX19" s="45"/>
      <c r="EY19" s="45"/>
      <c r="EZ19" s="45"/>
      <c r="FA19" s="45"/>
      <c r="FB19" s="45"/>
      <c r="FC19" s="45"/>
      <c r="FD19" s="45"/>
      <c r="FE19" s="45"/>
      <c r="FF19" s="45"/>
      <c r="FG19" s="45"/>
      <c r="FH19" s="45"/>
      <c r="FI19" s="45"/>
      <c r="FJ19" s="45"/>
      <c r="FK19" s="45"/>
      <c r="FL19" s="45"/>
      <c r="FM19" s="45"/>
      <c r="FN19" s="45"/>
      <c r="FO19" s="45"/>
      <c r="FP19" s="45"/>
      <c r="FQ19" s="45"/>
      <c r="FR19" s="45"/>
      <c r="FS19" s="45"/>
      <c r="FT19" s="45"/>
      <c r="FU19" s="45"/>
      <c r="FV19" s="45"/>
      <c r="FW19" s="45"/>
      <c r="FX19" s="45"/>
      <c r="FY19" s="45"/>
      <c r="FZ19" s="45"/>
      <c r="GA19" s="45"/>
      <c r="GB19" s="45"/>
      <c r="GC19" s="45"/>
      <c r="GD19" s="45"/>
      <c r="GE19" s="45"/>
      <c r="GF19" s="45"/>
      <c r="GG19" s="45"/>
      <c r="GH19" s="45"/>
      <c r="GI19" s="45"/>
      <c r="GJ19" s="45"/>
      <c r="GK19" s="45"/>
      <c r="GL19" s="45"/>
      <c r="GM19" s="45"/>
      <c r="GN19" s="45"/>
      <c r="GO19" s="45"/>
      <c r="GP19" s="45"/>
      <c r="GQ19" s="45"/>
      <c r="GR19" s="45"/>
      <c r="GS19" s="45"/>
      <c r="GT19" s="45"/>
      <c r="GU19" s="45"/>
      <c r="GV19" s="45"/>
      <c r="GW19" s="45"/>
      <c r="GX19" s="45"/>
      <c r="GY19" s="45"/>
      <c r="GZ19" s="45"/>
      <c r="HA19" s="45"/>
      <c r="HB19" s="45"/>
      <c r="HC19" s="45"/>
      <c r="HD19" s="45"/>
      <c r="HE19" s="45"/>
      <c r="HF19" s="45"/>
      <c r="HG19" s="45"/>
      <c r="HH19" s="45"/>
      <c r="HI19" s="45"/>
      <c r="HJ19" s="45"/>
      <c r="HK19" s="45"/>
      <c r="HL19" s="45"/>
      <c r="HM19" s="45"/>
      <c r="HN19" s="45"/>
      <c r="HO19" s="45"/>
      <c r="HP19" s="45"/>
      <c r="HQ19" s="45"/>
      <c r="HR19" s="45"/>
      <c r="HS19" s="45"/>
      <c r="HT19" s="45"/>
      <c r="HU19" s="45"/>
      <c r="HV19" s="45"/>
      <c r="HW19" s="45"/>
      <c r="HX19" s="45"/>
      <c r="HY19" s="45"/>
      <c r="HZ19" s="45"/>
      <c r="IA19" s="45"/>
      <c r="IB19" s="45"/>
      <c r="IC19" s="45"/>
      <c r="ID19" s="45"/>
      <c r="IE19" s="45"/>
      <c r="IF19" s="45"/>
      <c r="IG19" s="45"/>
      <c r="IH19" s="45"/>
      <c r="II19" s="45"/>
      <c r="IJ19" s="45"/>
      <c r="IK19" s="45"/>
    </row>
    <row r="20" spans="1:245" s="68" customFormat="1" ht="19.05" customHeight="1">
      <c r="A20" s="53"/>
      <c r="B20" s="834"/>
      <c r="C20" s="191" t="s">
        <v>90</v>
      </c>
      <c r="D20" s="843"/>
      <c r="E20" s="80">
        <f>COUNTIFS(Table13514520105[[#All],[Sales]],"คุณณรงศ์ศักย์ เหล่ารัตนเวช",Table13514520105[[#All],[ค่าขายอุปกรณ์]],"&gt;1")</f>
        <v>0</v>
      </c>
      <c r="F20" s="75">
        <f>SUMIF(Table13514520105[[#All],[Sales]],"คุณณรงศ์ศักย์ เหล่ารัตนเวช",Table13514520105[[#All],[Total
คอมฯ อุปกรณ์]])</f>
        <v>0</v>
      </c>
      <c r="G20" s="75">
        <f t="shared" si="3"/>
        <v>0</v>
      </c>
      <c r="H20" s="75">
        <f t="shared" si="1"/>
        <v>0</v>
      </c>
      <c r="I20" s="51"/>
      <c r="J20" s="77"/>
      <c r="K20" s="45"/>
      <c r="L20" s="45"/>
      <c r="M20" s="45"/>
      <c r="N20" s="45"/>
      <c r="O20" s="45"/>
      <c r="P20" s="45"/>
      <c r="Q20" s="45"/>
      <c r="R20" s="45"/>
      <c r="S20" s="45"/>
      <c r="T20" s="45"/>
      <c r="U20" s="45"/>
      <c r="V20" s="45"/>
      <c r="W20" s="45"/>
      <c r="X20" s="45"/>
      <c r="Y20" s="45"/>
      <c r="Z20" s="45"/>
      <c r="AA20" s="45"/>
      <c r="AB20" s="45"/>
      <c r="AC20" s="45"/>
      <c r="AD20" s="45"/>
      <c r="AE20" s="45"/>
      <c r="AF20" s="45"/>
      <c r="AG20" s="45"/>
      <c r="AH20" s="45"/>
      <c r="AI20" s="45"/>
      <c r="AJ20" s="45"/>
      <c r="AK20" s="45"/>
      <c r="AL20" s="45"/>
      <c r="AM20" s="45"/>
      <c r="AN20" s="45"/>
      <c r="AO20" s="45"/>
      <c r="AP20" s="45"/>
      <c r="AQ20" s="45"/>
      <c r="AR20" s="45"/>
      <c r="AS20" s="45"/>
      <c r="AT20" s="45"/>
      <c r="AU20" s="45"/>
      <c r="AV20" s="45"/>
      <c r="AW20" s="45"/>
      <c r="AX20" s="45"/>
      <c r="AY20" s="45"/>
      <c r="AZ20" s="45"/>
      <c r="BA20" s="45"/>
      <c r="BB20" s="45"/>
      <c r="BC20" s="45"/>
      <c r="BD20" s="45"/>
      <c r="BE20" s="45"/>
      <c r="BF20" s="45"/>
      <c r="BG20" s="45"/>
      <c r="BH20" s="45"/>
      <c r="BI20" s="45"/>
      <c r="BJ20" s="45"/>
      <c r="BK20" s="45"/>
      <c r="BL20" s="45"/>
      <c r="BM20" s="45"/>
      <c r="BN20" s="45"/>
      <c r="BO20" s="45"/>
      <c r="BP20" s="45"/>
      <c r="BQ20" s="45"/>
      <c r="BR20" s="45"/>
      <c r="BS20" s="45"/>
      <c r="BT20" s="45"/>
      <c r="BU20" s="45"/>
      <c r="BV20" s="45"/>
      <c r="BW20" s="45"/>
      <c r="BX20" s="45"/>
      <c r="BY20" s="45"/>
      <c r="BZ20" s="45"/>
      <c r="CA20" s="45"/>
      <c r="CB20" s="45"/>
      <c r="CC20" s="45"/>
      <c r="CD20" s="45"/>
      <c r="CE20" s="45"/>
      <c r="CF20" s="45"/>
      <c r="CG20" s="45"/>
      <c r="CH20" s="45"/>
      <c r="CI20" s="45"/>
      <c r="CJ20" s="45"/>
      <c r="CK20" s="45"/>
      <c r="CL20" s="45"/>
      <c r="CM20" s="45"/>
      <c r="CN20" s="45"/>
      <c r="CO20" s="45"/>
      <c r="CP20" s="45"/>
      <c r="CQ20" s="45"/>
      <c r="CR20" s="45"/>
      <c r="CS20" s="45"/>
      <c r="CT20" s="45"/>
      <c r="CU20" s="45"/>
      <c r="CV20" s="45"/>
      <c r="CW20" s="45"/>
      <c r="CX20" s="45"/>
      <c r="CY20" s="45"/>
      <c r="CZ20" s="45"/>
      <c r="DA20" s="45"/>
      <c r="DB20" s="45"/>
      <c r="DC20" s="45"/>
      <c r="DD20" s="45"/>
      <c r="DE20" s="45"/>
      <c r="DF20" s="45"/>
      <c r="DG20" s="45"/>
      <c r="DH20" s="45"/>
      <c r="DI20" s="45"/>
      <c r="DJ20" s="45"/>
      <c r="DK20" s="45"/>
      <c r="DL20" s="45"/>
      <c r="DM20" s="45"/>
      <c r="DN20" s="45"/>
      <c r="DO20" s="45"/>
      <c r="DP20" s="45"/>
      <c r="DQ20" s="45"/>
      <c r="DR20" s="45"/>
      <c r="DS20" s="45"/>
      <c r="DT20" s="45"/>
      <c r="DU20" s="45"/>
      <c r="DV20" s="45"/>
      <c r="DW20" s="45"/>
      <c r="DX20" s="45"/>
      <c r="DY20" s="45"/>
      <c r="DZ20" s="45"/>
      <c r="EA20" s="45"/>
      <c r="EB20" s="45"/>
      <c r="EC20" s="45"/>
      <c r="ED20" s="45"/>
      <c r="EE20" s="45"/>
      <c r="EF20" s="45"/>
      <c r="EG20" s="45"/>
      <c r="EH20" s="45"/>
      <c r="EI20" s="45"/>
      <c r="EJ20" s="45"/>
      <c r="EK20" s="45"/>
      <c r="EL20" s="45"/>
      <c r="EM20" s="45"/>
      <c r="EN20" s="45"/>
      <c r="EO20" s="45"/>
      <c r="EP20" s="45"/>
      <c r="EQ20" s="45"/>
      <c r="ER20" s="45"/>
      <c r="ES20" s="45"/>
      <c r="ET20" s="45"/>
      <c r="EU20" s="45"/>
      <c r="EV20" s="45"/>
      <c r="EW20" s="45"/>
      <c r="EX20" s="45"/>
      <c r="EY20" s="45"/>
      <c r="EZ20" s="45"/>
      <c r="FA20" s="45"/>
      <c r="FB20" s="45"/>
      <c r="FC20" s="45"/>
      <c r="FD20" s="45"/>
      <c r="FE20" s="45"/>
      <c r="FF20" s="45"/>
      <c r="FG20" s="45"/>
      <c r="FH20" s="45"/>
      <c r="FI20" s="45"/>
      <c r="FJ20" s="45"/>
      <c r="FK20" s="45"/>
      <c r="FL20" s="45"/>
      <c r="FM20" s="45"/>
      <c r="FN20" s="45"/>
      <c r="FO20" s="45"/>
      <c r="FP20" s="45"/>
      <c r="FQ20" s="45"/>
      <c r="FR20" s="45"/>
      <c r="FS20" s="45"/>
      <c r="FT20" s="45"/>
      <c r="FU20" s="45"/>
      <c r="FV20" s="45"/>
      <c r="FW20" s="45"/>
      <c r="FX20" s="45"/>
      <c r="FY20" s="45"/>
      <c r="FZ20" s="45"/>
      <c r="GA20" s="45"/>
      <c r="GB20" s="45"/>
      <c r="GC20" s="45"/>
      <c r="GD20" s="45"/>
      <c r="GE20" s="45"/>
      <c r="GF20" s="45"/>
      <c r="GG20" s="45"/>
      <c r="GH20" s="45"/>
      <c r="GI20" s="45"/>
      <c r="GJ20" s="45"/>
      <c r="GK20" s="45"/>
      <c r="GL20" s="45"/>
      <c r="GM20" s="45"/>
      <c r="GN20" s="45"/>
      <c r="GO20" s="45"/>
      <c r="GP20" s="45"/>
      <c r="GQ20" s="45"/>
      <c r="GR20" s="45"/>
      <c r="GS20" s="45"/>
      <c r="GT20" s="45"/>
      <c r="GU20" s="45"/>
      <c r="GV20" s="45"/>
      <c r="GW20" s="45"/>
      <c r="GX20" s="45"/>
      <c r="GY20" s="45"/>
      <c r="GZ20" s="45"/>
      <c r="HA20" s="45"/>
      <c r="HB20" s="45"/>
      <c r="HC20" s="45"/>
      <c r="HD20" s="45"/>
      <c r="HE20" s="45"/>
      <c r="HF20" s="45"/>
      <c r="HG20" s="45"/>
      <c r="HH20" s="45"/>
      <c r="HI20" s="45"/>
      <c r="HJ20" s="45"/>
      <c r="HK20" s="45"/>
      <c r="HL20" s="45"/>
      <c r="HM20" s="45"/>
      <c r="HN20" s="45"/>
      <c r="HO20" s="45"/>
      <c r="HP20" s="45"/>
      <c r="HQ20" s="45"/>
      <c r="HR20" s="45"/>
      <c r="HS20" s="45"/>
      <c r="HT20" s="45"/>
      <c r="HU20" s="45"/>
      <c r="HV20" s="45"/>
      <c r="HW20" s="45"/>
      <c r="HX20" s="45"/>
      <c r="HY20" s="45"/>
      <c r="HZ20" s="45"/>
      <c r="IA20" s="45"/>
      <c r="IB20" s="45"/>
      <c r="IC20" s="45"/>
      <c r="ID20" s="45"/>
      <c r="IE20" s="45"/>
      <c r="IF20" s="45"/>
      <c r="IG20" s="45"/>
      <c r="IH20" s="45"/>
      <c r="II20" s="45"/>
      <c r="IJ20" s="45"/>
      <c r="IK20" s="45"/>
    </row>
    <row r="21" spans="1:245" s="68" customFormat="1" ht="19.05" customHeight="1">
      <c r="A21" s="53"/>
      <c r="B21" s="834"/>
      <c r="C21" s="190" t="s">
        <v>130</v>
      </c>
      <c r="D21" s="843"/>
      <c r="E21" s="80">
        <f>COUNTIFS(Table13514520105[[#All],[Sales]],"คุณชนัฐฎา สนคะมี",Table13514520105[[#All],[ค่าขายอุปกรณ์]],"&gt;1")</f>
        <v>0</v>
      </c>
      <c r="F21" s="75">
        <f>SUMIF(Table13514520105[[#All],[Sales]],"คุณชนัฐฎา สนคะมี",Table13514520105[[#All],[Total
คอมฯ อุปกรณ์]])</f>
        <v>0</v>
      </c>
      <c r="G21" s="75">
        <f t="shared" si="3"/>
        <v>0</v>
      </c>
      <c r="H21" s="75">
        <f t="shared" si="1"/>
        <v>0</v>
      </c>
      <c r="I21" s="51"/>
      <c r="J21" s="77"/>
      <c r="K21" s="45"/>
      <c r="L21" s="45"/>
      <c r="M21" s="45"/>
      <c r="N21" s="45"/>
      <c r="O21" s="45"/>
      <c r="P21" s="45"/>
      <c r="Q21" s="45"/>
      <c r="R21" s="45"/>
      <c r="S21" s="45"/>
      <c r="T21" s="45"/>
      <c r="U21" s="45"/>
      <c r="V21" s="45"/>
      <c r="W21" s="45"/>
      <c r="X21" s="45"/>
      <c r="Y21" s="45"/>
      <c r="Z21" s="45"/>
      <c r="AA21" s="45"/>
      <c r="AB21" s="45"/>
      <c r="AC21" s="45"/>
      <c r="AD21" s="45"/>
      <c r="AE21" s="45"/>
      <c r="AF21" s="45"/>
      <c r="AG21" s="45"/>
      <c r="AH21" s="45"/>
      <c r="AI21" s="45"/>
      <c r="AJ21" s="45"/>
      <c r="AK21" s="45"/>
      <c r="AL21" s="45"/>
      <c r="AM21" s="45"/>
      <c r="AN21" s="45"/>
      <c r="AO21" s="45"/>
      <c r="AP21" s="45"/>
      <c r="AQ21" s="45"/>
      <c r="AR21" s="45"/>
      <c r="AS21" s="45"/>
      <c r="AT21" s="45"/>
      <c r="AU21" s="45"/>
      <c r="AV21" s="45"/>
      <c r="AW21" s="45"/>
      <c r="AX21" s="45"/>
      <c r="AY21" s="45"/>
      <c r="AZ21" s="45"/>
      <c r="BA21" s="45"/>
      <c r="BB21" s="45"/>
      <c r="BC21" s="45"/>
      <c r="BD21" s="45"/>
      <c r="BE21" s="45"/>
      <c r="BF21" s="45"/>
      <c r="BG21" s="45"/>
      <c r="BH21" s="45"/>
      <c r="BI21" s="45"/>
      <c r="BJ21" s="45"/>
      <c r="BK21" s="45"/>
      <c r="BL21" s="45"/>
      <c r="BM21" s="45"/>
      <c r="BN21" s="45"/>
      <c r="BO21" s="45"/>
      <c r="BP21" s="45"/>
      <c r="BQ21" s="45"/>
      <c r="BR21" s="45"/>
      <c r="BS21" s="45"/>
      <c r="BT21" s="45"/>
      <c r="BU21" s="45"/>
      <c r="BV21" s="45"/>
      <c r="BW21" s="45"/>
      <c r="BX21" s="45"/>
      <c r="BY21" s="45"/>
      <c r="BZ21" s="45"/>
      <c r="CA21" s="45"/>
      <c r="CB21" s="45"/>
      <c r="CC21" s="45"/>
      <c r="CD21" s="45"/>
      <c r="CE21" s="45"/>
      <c r="CF21" s="45"/>
      <c r="CG21" s="45"/>
      <c r="CH21" s="45"/>
      <c r="CI21" s="45"/>
      <c r="CJ21" s="45"/>
      <c r="CK21" s="45"/>
      <c r="CL21" s="45"/>
      <c r="CM21" s="45"/>
      <c r="CN21" s="45"/>
      <c r="CO21" s="45"/>
      <c r="CP21" s="45"/>
      <c r="CQ21" s="45"/>
      <c r="CR21" s="45"/>
      <c r="CS21" s="45"/>
      <c r="CT21" s="45"/>
      <c r="CU21" s="45"/>
      <c r="CV21" s="45"/>
      <c r="CW21" s="45"/>
      <c r="CX21" s="45"/>
      <c r="CY21" s="45"/>
      <c r="CZ21" s="45"/>
      <c r="DA21" s="45"/>
      <c r="DB21" s="45"/>
      <c r="DC21" s="45"/>
      <c r="DD21" s="45"/>
      <c r="DE21" s="45"/>
      <c r="DF21" s="45"/>
      <c r="DG21" s="45"/>
      <c r="DH21" s="45"/>
      <c r="DI21" s="45"/>
      <c r="DJ21" s="45"/>
      <c r="DK21" s="45"/>
      <c r="DL21" s="45"/>
      <c r="DM21" s="45"/>
      <c r="DN21" s="45"/>
      <c r="DO21" s="45"/>
      <c r="DP21" s="45"/>
      <c r="DQ21" s="45"/>
      <c r="DR21" s="45"/>
      <c r="DS21" s="45"/>
      <c r="DT21" s="45"/>
      <c r="DU21" s="45"/>
      <c r="DV21" s="45"/>
      <c r="DW21" s="45"/>
      <c r="DX21" s="45"/>
      <c r="DY21" s="45"/>
      <c r="DZ21" s="45"/>
      <c r="EA21" s="45"/>
      <c r="EB21" s="45"/>
      <c r="EC21" s="45"/>
      <c r="ED21" s="45"/>
      <c r="EE21" s="45"/>
      <c r="EF21" s="45"/>
      <c r="EG21" s="45"/>
      <c r="EH21" s="45"/>
      <c r="EI21" s="45"/>
      <c r="EJ21" s="45"/>
      <c r="EK21" s="45"/>
      <c r="EL21" s="45"/>
      <c r="EM21" s="45"/>
      <c r="EN21" s="45"/>
      <c r="EO21" s="45"/>
      <c r="EP21" s="45"/>
      <c r="EQ21" s="45"/>
      <c r="ER21" s="45"/>
      <c r="ES21" s="45"/>
      <c r="ET21" s="45"/>
      <c r="EU21" s="45"/>
      <c r="EV21" s="45"/>
      <c r="EW21" s="45"/>
      <c r="EX21" s="45"/>
      <c r="EY21" s="45"/>
      <c r="EZ21" s="45"/>
      <c r="FA21" s="45"/>
      <c r="FB21" s="45"/>
      <c r="FC21" s="45"/>
      <c r="FD21" s="45"/>
      <c r="FE21" s="45"/>
      <c r="FF21" s="45"/>
      <c r="FG21" s="45"/>
      <c r="FH21" s="45"/>
      <c r="FI21" s="45"/>
      <c r="FJ21" s="45"/>
      <c r="FK21" s="45"/>
      <c r="FL21" s="45"/>
      <c r="FM21" s="45"/>
      <c r="FN21" s="45"/>
      <c r="FO21" s="45"/>
      <c r="FP21" s="45"/>
      <c r="FQ21" s="45"/>
      <c r="FR21" s="45"/>
      <c r="FS21" s="45"/>
      <c r="FT21" s="45"/>
      <c r="FU21" s="45"/>
      <c r="FV21" s="45"/>
      <c r="FW21" s="45"/>
      <c r="FX21" s="45"/>
      <c r="FY21" s="45"/>
      <c r="FZ21" s="45"/>
      <c r="GA21" s="45"/>
      <c r="GB21" s="45"/>
      <c r="GC21" s="45"/>
      <c r="GD21" s="45"/>
      <c r="GE21" s="45"/>
      <c r="GF21" s="45"/>
      <c r="GG21" s="45"/>
      <c r="GH21" s="45"/>
      <c r="GI21" s="45"/>
      <c r="GJ21" s="45"/>
      <c r="GK21" s="45"/>
      <c r="GL21" s="45"/>
      <c r="GM21" s="45"/>
      <c r="GN21" s="45"/>
      <c r="GO21" s="45"/>
      <c r="GP21" s="45"/>
      <c r="GQ21" s="45"/>
      <c r="GR21" s="45"/>
      <c r="GS21" s="45"/>
      <c r="GT21" s="45"/>
      <c r="GU21" s="45"/>
      <c r="GV21" s="45"/>
      <c r="GW21" s="45"/>
      <c r="GX21" s="45"/>
      <c r="GY21" s="45"/>
      <c r="GZ21" s="45"/>
      <c r="HA21" s="45"/>
      <c r="HB21" s="45"/>
      <c r="HC21" s="45"/>
      <c r="HD21" s="45"/>
      <c r="HE21" s="45"/>
      <c r="HF21" s="45"/>
      <c r="HG21" s="45"/>
      <c r="HH21" s="45"/>
      <c r="HI21" s="45"/>
      <c r="HJ21" s="45"/>
      <c r="HK21" s="45"/>
      <c r="HL21" s="45"/>
      <c r="HM21" s="45"/>
      <c r="HN21" s="45"/>
      <c r="HO21" s="45"/>
      <c r="HP21" s="45"/>
      <c r="HQ21" s="45"/>
      <c r="HR21" s="45"/>
      <c r="HS21" s="45"/>
      <c r="HT21" s="45"/>
      <c r="HU21" s="45"/>
      <c r="HV21" s="45"/>
      <c r="HW21" s="45"/>
      <c r="HX21" s="45"/>
      <c r="HY21" s="45"/>
      <c r="HZ21" s="45"/>
      <c r="IA21" s="45"/>
      <c r="IB21" s="45"/>
      <c r="IC21" s="45"/>
      <c r="ID21" s="45"/>
      <c r="IE21" s="45"/>
      <c r="IF21" s="45"/>
      <c r="IG21" s="45"/>
      <c r="IH21" s="45"/>
      <c r="II21" s="45"/>
      <c r="IJ21" s="45"/>
      <c r="IK21" s="45"/>
    </row>
    <row r="22" spans="1:245" s="68" customFormat="1" ht="19.05" customHeight="1">
      <c r="A22" s="70"/>
      <c r="B22" s="834"/>
      <c r="C22" s="73" t="s">
        <v>69</v>
      </c>
      <c r="D22" s="844"/>
      <c r="E22" s="80">
        <f>COUNTIFS(Table13514520105[[#All],[Sales]],"คุณธัญลักษณ์ หมื่นหลุบกุง",Table13514520105[[#All],[ค่าขายอุปกรณ์]],"&gt;1")</f>
        <v>0</v>
      </c>
      <c r="F22" s="75">
        <f>SUMIF(Table13514520105[[#All],[Sales]],"คุณธัญลักษณ์ หมื่นหลุบกุง",Table13514520105[[#All],[Total
คอมฯ อุปกรณ์]])</f>
        <v>0</v>
      </c>
      <c r="G22" s="75">
        <f t="shared" si="3"/>
        <v>0</v>
      </c>
      <c r="H22" s="75">
        <f t="shared" si="1"/>
        <v>0</v>
      </c>
      <c r="I22" s="51"/>
      <c r="J22" s="51"/>
      <c r="K22" s="45"/>
      <c r="L22" s="45"/>
      <c r="M22" s="45"/>
      <c r="N22" s="45"/>
      <c r="O22" s="45"/>
      <c r="P22" s="45"/>
      <c r="Q22" s="45"/>
      <c r="R22" s="45"/>
      <c r="S22" s="45"/>
      <c r="T22" s="45"/>
      <c r="U22" s="45"/>
      <c r="V22" s="45"/>
      <c r="W22" s="45"/>
      <c r="X22" s="45"/>
      <c r="Y22" s="45"/>
      <c r="Z22" s="45"/>
      <c r="AA22" s="45"/>
      <c r="AB22" s="45"/>
      <c r="AC22" s="45"/>
      <c r="AD22" s="45"/>
      <c r="AE22" s="45"/>
      <c r="AF22" s="45"/>
      <c r="AG22" s="45"/>
      <c r="AH22" s="45"/>
      <c r="AI22" s="45"/>
      <c r="AJ22" s="45"/>
      <c r="AK22" s="45"/>
      <c r="AL22" s="45"/>
      <c r="AM22" s="45"/>
      <c r="AN22" s="45"/>
      <c r="AO22" s="45"/>
      <c r="AP22" s="45"/>
      <c r="AQ22" s="45"/>
      <c r="AR22" s="45"/>
      <c r="AS22" s="45"/>
      <c r="AT22" s="45"/>
      <c r="AU22" s="45"/>
      <c r="AV22" s="45"/>
      <c r="AW22" s="45"/>
      <c r="AX22" s="45"/>
      <c r="AY22" s="45"/>
      <c r="AZ22" s="45"/>
      <c r="BA22" s="45"/>
      <c r="BB22" s="45"/>
      <c r="BC22" s="45"/>
      <c r="BD22" s="45"/>
      <c r="BE22" s="45"/>
      <c r="BF22" s="45"/>
      <c r="BG22" s="45"/>
      <c r="BH22" s="45"/>
      <c r="BI22" s="45"/>
      <c r="BJ22" s="45"/>
      <c r="BK22" s="45"/>
      <c r="BL22" s="45"/>
      <c r="BM22" s="45"/>
      <c r="BN22" s="45"/>
      <c r="BO22" s="45"/>
      <c r="BP22" s="45"/>
      <c r="BQ22" s="45"/>
      <c r="BR22" s="45"/>
      <c r="BS22" s="45"/>
      <c r="BT22" s="45"/>
      <c r="BU22" s="45"/>
      <c r="BV22" s="45"/>
      <c r="BW22" s="45"/>
      <c r="BX22" s="45"/>
      <c r="BY22" s="45"/>
      <c r="BZ22" s="45"/>
      <c r="CA22" s="45"/>
      <c r="CB22" s="45"/>
      <c r="CC22" s="45"/>
      <c r="CD22" s="45"/>
      <c r="CE22" s="45"/>
      <c r="CF22" s="45"/>
      <c r="CG22" s="45"/>
      <c r="CH22" s="45"/>
      <c r="CI22" s="45"/>
      <c r="CJ22" s="45"/>
      <c r="CK22" s="45"/>
      <c r="CL22" s="45"/>
      <c r="CM22" s="45"/>
      <c r="CN22" s="45"/>
      <c r="CO22" s="45"/>
      <c r="CP22" s="45"/>
      <c r="CQ22" s="45"/>
      <c r="CR22" s="45"/>
      <c r="CS22" s="45"/>
      <c r="CT22" s="45"/>
      <c r="CU22" s="45"/>
      <c r="CV22" s="45"/>
      <c r="CW22" s="45"/>
      <c r="CX22" s="45"/>
      <c r="CY22" s="45"/>
      <c r="CZ22" s="45"/>
      <c r="DA22" s="45"/>
      <c r="DB22" s="45"/>
      <c r="DC22" s="45"/>
      <c r="DD22" s="45"/>
      <c r="DE22" s="45"/>
      <c r="DF22" s="45"/>
      <c r="DG22" s="45"/>
      <c r="DH22" s="45"/>
      <c r="DI22" s="45"/>
      <c r="DJ22" s="45"/>
      <c r="DK22" s="45"/>
      <c r="DL22" s="45"/>
      <c r="DM22" s="45"/>
      <c r="DN22" s="45"/>
      <c r="DO22" s="45"/>
      <c r="DP22" s="45"/>
      <c r="DQ22" s="45"/>
      <c r="DR22" s="45"/>
      <c r="DS22" s="45"/>
      <c r="DT22" s="45"/>
      <c r="DU22" s="45"/>
      <c r="DV22" s="45"/>
      <c r="DW22" s="45"/>
      <c r="DX22" s="45"/>
      <c r="DY22" s="45"/>
      <c r="DZ22" s="45"/>
      <c r="EA22" s="45"/>
      <c r="EB22" s="45"/>
      <c r="EC22" s="45"/>
      <c r="ED22" s="45"/>
      <c r="EE22" s="45"/>
      <c r="EF22" s="45"/>
      <c r="EG22" s="45"/>
      <c r="EH22" s="45"/>
      <c r="EI22" s="45"/>
      <c r="EJ22" s="45"/>
      <c r="EK22" s="45"/>
      <c r="EL22" s="45"/>
      <c r="EM22" s="45"/>
      <c r="EN22" s="45"/>
      <c r="EO22" s="45"/>
      <c r="EP22" s="45"/>
      <c r="EQ22" s="45"/>
      <c r="ER22" s="45"/>
      <c r="ES22" s="45"/>
      <c r="ET22" s="45"/>
      <c r="EU22" s="45"/>
      <c r="EV22" s="45"/>
      <c r="EW22" s="45"/>
      <c r="EX22" s="45"/>
      <c r="EY22" s="45"/>
      <c r="EZ22" s="45"/>
      <c r="FA22" s="45"/>
      <c r="FB22" s="45"/>
      <c r="FC22" s="45"/>
      <c r="FD22" s="45"/>
      <c r="FE22" s="45"/>
      <c r="FF22" s="45"/>
      <c r="FG22" s="45"/>
      <c r="FH22" s="45"/>
      <c r="FI22" s="45"/>
      <c r="FJ22" s="45"/>
      <c r="FK22" s="45"/>
      <c r="FL22" s="45"/>
      <c r="FM22" s="45"/>
      <c r="FN22" s="45"/>
      <c r="FO22" s="45"/>
      <c r="FP22" s="45"/>
      <c r="FQ22" s="45"/>
      <c r="FR22" s="45"/>
      <c r="FS22" s="45"/>
      <c r="FT22" s="45"/>
      <c r="FU22" s="45"/>
      <c r="FV22" s="45"/>
      <c r="FW22" s="45"/>
      <c r="FX22" s="45"/>
      <c r="FY22" s="45"/>
      <c r="FZ22" s="45"/>
      <c r="GA22" s="45"/>
      <c r="GB22" s="45"/>
      <c r="GC22" s="45"/>
      <c r="GD22" s="45"/>
      <c r="GE22" s="45"/>
      <c r="GF22" s="45"/>
      <c r="GG22" s="45"/>
      <c r="GH22" s="45"/>
      <c r="GI22" s="45"/>
      <c r="GJ22" s="45"/>
      <c r="GK22" s="45"/>
      <c r="GL22" s="45"/>
      <c r="GM22" s="45"/>
      <c r="GN22" s="45"/>
      <c r="GO22" s="45"/>
      <c r="GP22" s="45"/>
      <c r="GQ22" s="45"/>
      <c r="GR22" s="45"/>
      <c r="GS22" s="45"/>
      <c r="GT22" s="45"/>
      <c r="GU22" s="45"/>
      <c r="GV22" s="45"/>
      <c r="GW22" s="45"/>
      <c r="GX22" s="45"/>
      <c r="GY22" s="45"/>
      <c r="GZ22" s="45"/>
      <c r="HA22" s="45"/>
      <c r="HB22" s="45"/>
      <c r="HC22" s="45"/>
      <c r="HD22" s="45"/>
      <c r="HE22" s="45"/>
      <c r="HF22" s="45"/>
      <c r="HG22" s="45"/>
      <c r="HH22" s="45"/>
      <c r="HI22" s="45"/>
      <c r="HJ22" s="45"/>
      <c r="HK22" s="45"/>
      <c r="HL22" s="45"/>
      <c r="HM22" s="45"/>
      <c r="HN22" s="45"/>
      <c r="HO22" s="45"/>
      <c r="HP22" s="45"/>
      <c r="HQ22" s="45"/>
      <c r="HR22" s="45"/>
      <c r="HS22" s="45"/>
      <c r="HT22" s="45"/>
      <c r="HU22" s="45"/>
      <c r="HV22" s="45"/>
      <c r="HW22" s="45"/>
      <c r="HX22" s="45"/>
      <c r="HY22" s="45"/>
      <c r="HZ22" s="45"/>
      <c r="IA22" s="45"/>
      <c r="IB22" s="45"/>
      <c r="IC22" s="45"/>
      <c r="ID22" s="45"/>
      <c r="IE22" s="45"/>
      <c r="IF22" s="45"/>
      <c r="IG22" s="45"/>
      <c r="IH22" s="45"/>
      <c r="II22" s="45"/>
      <c r="IJ22" s="45"/>
      <c r="IK22" s="45"/>
    </row>
    <row r="23" spans="1:245" s="45" customFormat="1" ht="19.05" customHeight="1">
      <c r="A23" s="69">
        <v>3</v>
      </c>
      <c r="B23" s="835" t="s">
        <v>20</v>
      </c>
      <c r="C23" s="72" t="s">
        <v>70</v>
      </c>
      <c r="D23" s="839" t="s">
        <v>27</v>
      </c>
      <c r="E23" s="80">
        <f>COUNTIFS(Table13514520105[[#All],[Sales]],"คุณนิมิต จุ้ยอยู่ทอง",Table13514520105[[#All],[Total 
คอมฯค่าติดตั้ง/ค่าเชื่อมสัญญาณ]],"&gt;1")</f>
        <v>0</v>
      </c>
      <c r="F23" s="75">
        <f>SUMIF(Table13514520105[[#All],[Sales]],"คุณนิมิต จุ้ยอยู่ทอง",Table13514520105[[#All],[Total 
คอมฯค่าติดตั้ง/ค่าเชื่อมสัญญาณ]])</f>
        <v>0</v>
      </c>
      <c r="G23" s="75">
        <f t="shared" si="3"/>
        <v>0</v>
      </c>
      <c r="H23" s="75">
        <f t="shared" si="1"/>
        <v>0</v>
      </c>
      <c r="I23" s="51"/>
      <c r="J23" s="54"/>
    </row>
    <row r="24" spans="1:245" s="45" customFormat="1" ht="19.05" customHeight="1">
      <c r="A24" s="53"/>
      <c r="B24" s="835"/>
      <c r="C24" s="74" t="s">
        <v>71</v>
      </c>
      <c r="D24" s="845"/>
      <c r="E24" s="80">
        <f>COUNTIFS(Table13514520105[[#All],[Sales]],"คุณธวัช มีแสง",Table13514520105[[#All],[Total 
คอมฯค่าติดตั้ง/ค่าเชื่อมสัญญาณ]],"&gt;1")</f>
        <v>0</v>
      </c>
      <c r="F24" s="75">
        <f>SUMIF(Table13514520105[[#All],[Sales]],"คุณธวัช มีแสง",Table13514520105[[#All],[Total 
คอมฯค่าติดตั้ง/ค่าเชื่อมสัญญาณ]])</f>
        <v>0</v>
      </c>
      <c r="G24" s="75">
        <f t="shared" ref="G24:G31" si="4">F24*$G$3</f>
        <v>0</v>
      </c>
      <c r="H24" s="75">
        <f t="shared" ref="H24:H31" si="5">SUM(F24-G24)</f>
        <v>0</v>
      </c>
      <c r="I24" s="51"/>
      <c r="J24" s="54"/>
    </row>
    <row r="25" spans="1:245" s="45" customFormat="1" ht="19.05" customHeight="1">
      <c r="A25" s="53"/>
      <c r="B25" s="835"/>
      <c r="C25" s="74" t="s">
        <v>72</v>
      </c>
      <c r="D25" s="845"/>
      <c r="E25" s="80">
        <f>COUNTIFS(Table13514520105[[#All],[Sales]],"คุณแดง มูลสองแคว",Table13514520105[[#All],[Total 
คอมฯค่าติดตั้ง/ค่าเชื่อมสัญญาณ]],"&gt;1")</f>
        <v>0</v>
      </c>
      <c r="F25" s="75">
        <f>SUMIF(Table13514520105[[#All],[Sales]],"คุณแดง มูลสองแคว",Table13514520105[[#All],[Total 
คอมฯค่าติดตั้ง/ค่าเชื่อมสัญญาณ]])</f>
        <v>0</v>
      </c>
      <c r="G25" s="75">
        <f t="shared" si="4"/>
        <v>0</v>
      </c>
      <c r="H25" s="75">
        <f t="shared" si="5"/>
        <v>0</v>
      </c>
      <c r="I25" s="51"/>
      <c r="J25" s="54"/>
    </row>
    <row r="26" spans="1:245" s="45" customFormat="1" ht="19.05" customHeight="1">
      <c r="A26" s="53"/>
      <c r="B26" s="836"/>
      <c r="C26" s="136" t="s">
        <v>73</v>
      </c>
      <c r="D26" s="845"/>
      <c r="E26" s="80">
        <f>COUNTIFS(Table13514520105[[#All],[Sales]],"คุณนิยนต์ อยู่ทะเล",Table13514520105[[#All],[Total 
คอมฯค่าติดตั้ง/ค่าเชื่อมสัญญาณ]],"&gt;1")</f>
        <v>0</v>
      </c>
      <c r="F26" s="75">
        <f>SUMIF(Table13514520105[[#All],[Sales]],"คุณนิยนต์ อยู่ทะเล",Table13514520105[[#All],[Total 
คอมฯค่าติดตั้ง/ค่าเชื่อมสัญญาณ]])</f>
        <v>0</v>
      </c>
      <c r="G26" s="75">
        <f t="shared" si="4"/>
        <v>0</v>
      </c>
      <c r="H26" s="75">
        <f t="shared" si="5"/>
        <v>0</v>
      </c>
      <c r="I26" s="51"/>
      <c r="J26" s="54"/>
    </row>
    <row r="27" spans="1:245" s="45" customFormat="1" ht="19.05" customHeight="1">
      <c r="A27" s="53"/>
      <c r="B27" s="837"/>
      <c r="C27" s="142" t="s">
        <v>67</v>
      </c>
      <c r="D27" s="845"/>
      <c r="E27" s="80">
        <f>COUNTIFS(Table13514520105[[#All],[Sales]],"คุณรุ่งอรุณ อินบุญรอด",Table13514520105[[#All],[Total 
คอมฯค่าติดตั้ง/ค่าเชื่อมสัญญาณ]],"&gt;1")</f>
        <v>0</v>
      </c>
      <c r="F27" s="75">
        <f>SUMIF(Table13514520105[[#All],[Sales]],"คุณรุ่งอรุณ อินบุญรอด",Table13514520105[[#All],[Total 
คอมฯค่าติดตั้ง/ค่าเชื่อมสัญญาณ]])</f>
        <v>0</v>
      </c>
      <c r="G27" s="75">
        <f t="shared" si="4"/>
        <v>0</v>
      </c>
      <c r="H27" s="75">
        <f t="shared" si="5"/>
        <v>0</v>
      </c>
      <c r="I27" s="51"/>
      <c r="J27" s="54"/>
    </row>
    <row r="28" spans="1:245" s="45" customFormat="1" ht="19.05" customHeight="1">
      <c r="A28" s="53"/>
      <c r="B28" s="838"/>
      <c r="C28" s="191" t="s">
        <v>68</v>
      </c>
      <c r="D28" s="845"/>
      <c r="E28" s="80">
        <f>COUNTIFS(Table13514520105[[#All],[Sales]],"คุณศศินาถ จุ้ยอยู่ทอง",Table13514520105[[#All],[Total 
คอมฯค่าติดตั้ง/ค่าเชื่อมสัญญาณ]],"&gt;1")</f>
        <v>0</v>
      </c>
      <c r="F28" s="75">
        <f>SUMIF(Table13514520105[[#All],[Sales]],"คุณศศินาถ จุ้ยอยู่ทอง",Table13514520105[[#All],[Total 
คอมฯค่าติดตั้ง/ค่าเชื่อมสัญญาณ]])</f>
        <v>0</v>
      </c>
      <c r="G28" s="75">
        <f t="shared" si="4"/>
        <v>0</v>
      </c>
      <c r="H28" s="75">
        <f t="shared" si="5"/>
        <v>0</v>
      </c>
      <c r="I28" s="51"/>
      <c r="J28" s="54"/>
    </row>
    <row r="29" spans="1:245" s="45" customFormat="1" ht="19.05" customHeight="1">
      <c r="A29" s="53"/>
      <c r="B29" s="838"/>
      <c r="C29" s="191" t="s">
        <v>90</v>
      </c>
      <c r="D29" s="845"/>
      <c r="E29" s="80">
        <f>COUNTIFS(Table13514520105[[#All],[Sales]],"คุณณรงศ์ศักย์ เหล่ารัตนเวช",Table13514520105[[#All],[Total 
คอมฯค่าติดตั้ง/ค่าเชื่อมสัญญาณ]],"&gt;1")</f>
        <v>0</v>
      </c>
      <c r="F29" s="75">
        <f>SUMIF(Table13514520105[[#All],[Sales]],"คุณณรงศ์ศักย์ เหล่ารัตนเวช",Table13514520105[[#All],[Total 
คอมฯค่าติดตั้ง/ค่าเชื่อมสัญญาณ]])</f>
        <v>0</v>
      </c>
      <c r="G29" s="75">
        <f t="shared" si="4"/>
        <v>0</v>
      </c>
      <c r="H29" s="75">
        <f t="shared" si="5"/>
        <v>0</v>
      </c>
      <c r="I29" s="51"/>
      <c r="J29" s="54"/>
    </row>
    <row r="30" spans="1:245" s="45" customFormat="1" ht="19.05" customHeight="1">
      <c r="A30" s="53"/>
      <c r="B30" s="838"/>
      <c r="C30" s="190" t="s">
        <v>130</v>
      </c>
      <c r="D30" s="845"/>
      <c r="E30" s="80">
        <f>COUNTIFS(Table13514520105[[#All],[Sales]],"คุณชนัฐฎา สนคะมี",Table13514520105[[#All],[Total 
คอมฯค่าติดตั้ง/ค่าเชื่อมสัญญาณ]],"&gt;1")</f>
        <v>0</v>
      </c>
      <c r="F30" s="75">
        <f>SUMIF(Table13514520105[[#All],[Sales]],"คุณชนัฐฎา สนคะมี",Table13514520105[[#All],[Total 
คอมฯค่าติดตั้ง/ค่าเชื่อมสัญญาณ]])</f>
        <v>0</v>
      </c>
      <c r="G30" s="75">
        <f>F30*$G$3</f>
        <v>0</v>
      </c>
      <c r="H30" s="75">
        <f>SUM(F30-G30)</f>
        <v>0</v>
      </c>
      <c r="I30" s="51"/>
      <c r="J30" s="54"/>
    </row>
    <row r="31" spans="1:245" s="45" customFormat="1" ht="19.05" customHeight="1">
      <c r="A31" s="53"/>
      <c r="B31" s="835"/>
      <c r="C31" s="119" t="s">
        <v>69</v>
      </c>
      <c r="D31" s="846"/>
      <c r="E31" s="80">
        <f>COUNTIFS(Table13514520105[[#All],[Sales]],"คุณธัญลักษณ์ หมื่นหลุบกุง",Table13514520105[[#All],[Total 
คอมฯค่าติดตั้ง/ค่าเชื่อมสัญญาณ]],"&gt;1")</f>
        <v>0</v>
      </c>
      <c r="F31" s="75">
        <f>SUMIF(Table13514520105[[#All],[Sales]],"คุณธัญลักษณ์ หมื่นหลุบกุง",Table13514520105[[#All],[Total 
คอมฯค่าติดตั้ง/ค่าเชื่อมสัญญาณ]])</f>
        <v>0</v>
      </c>
      <c r="G31" s="75">
        <f t="shared" si="4"/>
        <v>0</v>
      </c>
      <c r="H31" s="75">
        <f t="shared" si="5"/>
        <v>0</v>
      </c>
      <c r="I31" s="54"/>
      <c r="J31" s="54"/>
    </row>
    <row r="32" spans="1:245" s="45" customFormat="1" ht="21" customHeight="1">
      <c r="A32" s="55"/>
      <c r="B32" s="56" t="s">
        <v>12</v>
      </c>
      <c r="C32" s="56"/>
      <c r="D32" s="56"/>
      <c r="E32" s="57">
        <f>SUM(E5:E31)</f>
        <v>4</v>
      </c>
      <c r="F32" s="57">
        <f>SUM(F5:F31)</f>
        <v>18542.060000000001</v>
      </c>
      <c r="G32" s="57">
        <f>SUM(G5:G31)</f>
        <v>0</v>
      </c>
      <c r="H32" s="71">
        <f>SUM(H5:H31)</f>
        <v>18542.060000000001</v>
      </c>
      <c r="I32" s="54"/>
      <c r="J32" s="54"/>
    </row>
    <row r="33" spans="2:13" s="45" customFormat="1" ht="13.95" customHeight="1">
      <c r="B33" s="81"/>
      <c r="C33" s="81"/>
      <c r="D33" s="81"/>
      <c r="E33" s="82"/>
      <c r="F33" s="82"/>
      <c r="G33" s="82"/>
      <c r="H33" s="84"/>
      <c r="I33" s="82"/>
    </row>
    <row r="34" spans="2:13" s="45" customFormat="1" ht="7.95" customHeight="1">
      <c r="B34" s="81"/>
      <c r="C34" s="81"/>
      <c r="D34" s="81"/>
      <c r="E34" s="82"/>
      <c r="F34" s="82"/>
      <c r="G34" s="82"/>
      <c r="H34" s="82"/>
      <c r="I34" s="82"/>
    </row>
    <row r="35" spans="2:13" ht="19.95" customHeight="1">
      <c r="B35" s="827" t="s">
        <v>93</v>
      </c>
      <c r="C35" s="827"/>
      <c r="D35" s="827"/>
      <c r="E35" s="827"/>
      <c r="F35" s="827"/>
      <c r="G35" s="827"/>
      <c r="H35" s="827"/>
      <c r="I35" s="827"/>
      <c r="J35" s="827"/>
      <c r="K35" s="827"/>
      <c r="L35" s="827"/>
      <c r="M35" s="827"/>
    </row>
    <row r="36" spans="2:13" s="45" customFormat="1" ht="14.55" customHeight="1">
      <c r="B36" s="827"/>
      <c r="C36" s="827"/>
      <c r="D36" s="827"/>
      <c r="E36" s="827"/>
      <c r="F36" s="827"/>
      <c r="G36" s="827"/>
      <c r="H36" s="827"/>
      <c r="I36" s="827"/>
      <c r="J36" s="827"/>
      <c r="K36" s="827"/>
      <c r="L36" s="827"/>
      <c r="M36" s="827"/>
    </row>
    <row r="37" spans="2:13" s="201" customFormat="1" ht="70.2" customHeight="1">
      <c r="B37" s="214" t="s">
        <v>41</v>
      </c>
      <c r="C37" s="214" t="s">
        <v>13</v>
      </c>
      <c r="D37" s="214" t="s">
        <v>35</v>
      </c>
      <c r="E37" s="215" t="s">
        <v>33</v>
      </c>
      <c r="F37" s="215" t="s">
        <v>15</v>
      </c>
      <c r="G37" s="215" t="s">
        <v>34</v>
      </c>
      <c r="H37" s="216" t="s">
        <v>32</v>
      </c>
      <c r="I37" s="214" t="s">
        <v>30</v>
      </c>
      <c r="J37" s="216" t="s">
        <v>57</v>
      </c>
      <c r="K37" s="214" t="s">
        <v>58</v>
      </c>
      <c r="L37" s="217" t="s">
        <v>76</v>
      </c>
      <c r="M37" s="210" t="s">
        <v>77</v>
      </c>
    </row>
    <row r="38" spans="2:13" ht="19.95" customHeight="1">
      <c r="B38" s="196" t="s">
        <v>23</v>
      </c>
      <c r="C38" s="193" t="s">
        <v>78</v>
      </c>
      <c r="D38" s="197" t="s">
        <v>70</v>
      </c>
      <c r="E38" s="222">
        <f t="shared" ref="E38:E45" si="6">SUM(G65)</f>
        <v>3406.5450000000001</v>
      </c>
      <c r="F38" s="223">
        <v>0</v>
      </c>
      <c r="G38" s="224">
        <f>SUM(E38-F38)</f>
        <v>3406.5450000000001</v>
      </c>
      <c r="H38" s="198">
        <v>0</v>
      </c>
      <c r="I38" s="225">
        <f>SUM(G38-H38)</f>
        <v>3406.5450000000001</v>
      </c>
      <c r="J38" s="226">
        <f>I38*3%</f>
        <v>102.19635</v>
      </c>
      <c r="K38" s="227">
        <f>I38-J38</f>
        <v>3304.3486499999999</v>
      </c>
      <c r="L38" s="195" t="s">
        <v>88</v>
      </c>
      <c r="M38" s="173" t="s">
        <v>81</v>
      </c>
    </row>
    <row r="39" spans="2:13" ht="19.95" customHeight="1">
      <c r="B39" s="196"/>
      <c r="C39" s="193" t="s">
        <v>78</v>
      </c>
      <c r="D39" s="197" t="s">
        <v>71</v>
      </c>
      <c r="E39" s="222">
        <f t="shared" si="6"/>
        <v>0</v>
      </c>
      <c r="F39" s="223"/>
      <c r="G39" s="224">
        <f t="shared" ref="G39:G49" si="7">SUM(E39-F39)</f>
        <v>0</v>
      </c>
      <c r="H39" s="198">
        <v>0</v>
      </c>
      <c r="I39" s="225">
        <f t="shared" ref="I39:I49" si="8">SUM(G39-H39)</f>
        <v>0</v>
      </c>
      <c r="J39" s="226">
        <f t="shared" ref="J39:J49" si="9">I39*3%</f>
        <v>0</v>
      </c>
      <c r="K39" s="227">
        <f t="shared" ref="K39:K49" si="10">I39-J39</f>
        <v>0</v>
      </c>
      <c r="L39" s="195" t="s">
        <v>88</v>
      </c>
      <c r="M39" s="173" t="s">
        <v>82</v>
      </c>
    </row>
    <row r="40" spans="2:13" ht="19.95" customHeight="1">
      <c r="B40" s="196"/>
      <c r="C40" s="193" t="s">
        <v>78</v>
      </c>
      <c r="D40" s="197" t="s">
        <v>72</v>
      </c>
      <c r="E40" s="228">
        <f t="shared" si="6"/>
        <v>3000</v>
      </c>
      <c r="F40" s="224">
        <v>0</v>
      </c>
      <c r="G40" s="224">
        <f t="shared" ref="G40:G45" si="11">SUM(E40-F40)</f>
        <v>3000</v>
      </c>
      <c r="H40" s="194">
        <v>0</v>
      </c>
      <c r="I40" s="225">
        <f t="shared" ref="I40:I45" si="12">SUM(G40-H40)</f>
        <v>3000</v>
      </c>
      <c r="J40" s="226">
        <f t="shared" ref="J40:J45" si="13">I40*3%</f>
        <v>90</v>
      </c>
      <c r="K40" s="227">
        <f t="shared" ref="K40:K45" si="14">I40-J40</f>
        <v>2910</v>
      </c>
      <c r="L40" s="195" t="s">
        <v>88</v>
      </c>
      <c r="M40" s="173" t="s">
        <v>83</v>
      </c>
    </row>
    <row r="41" spans="2:13" ht="19.95" customHeight="1">
      <c r="B41" s="196"/>
      <c r="C41" s="193" t="s">
        <v>17</v>
      </c>
      <c r="D41" s="197" t="s">
        <v>73</v>
      </c>
      <c r="E41" s="228">
        <f t="shared" si="6"/>
        <v>0</v>
      </c>
      <c r="F41" s="224">
        <v>0</v>
      </c>
      <c r="G41" s="224">
        <f t="shared" si="11"/>
        <v>0</v>
      </c>
      <c r="H41" s="194">
        <v>0</v>
      </c>
      <c r="I41" s="225">
        <f t="shared" si="12"/>
        <v>0</v>
      </c>
      <c r="J41" s="226">
        <f t="shared" si="13"/>
        <v>0</v>
      </c>
      <c r="K41" s="227">
        <f t="shared" si="14"/>
        <v>0</v>
      </c>
      <c r="L41" s="195" t="s">
        <v>88</v>
      </c>
      <c r="M41" s="173" t="s">
        <v>84</v>
      </c>
    </row>
    <row r="42" spans="2:13" ht="19.95" customHeight="1">
      <c r="B42" s="196"/>
      <c r="C42" s="193" t="s">
        <v>78</v>
      </c>
      <c r="D42" s="197" t="s">
        <v>67</v>
      </c>
      <c r="E42" s="228">
        <f t="shared" si="6"/>
        <v>2625</v>
      </c>
      <c r="F42" s="224">
        <v>0</v>
      </c>
      <c r="G42" s="224">
        <f t="shared" si="11"/>
        <v>2625</v>
      </c>
      <c r="H42" s="194">
        <v>0</v>
      </c>
      <c r="I42" s="225">
        <f t="shared" si="12"/>
        <v>2625</v>
      </c>
      <c r="J42" s="226">
        <f t="shared" si="13"/>
        <v>78.75</v>
      </c>
      <c r="K42" s="227">
        <f t="shared" si="14"/>
        <v>2546.25</v>
      </c>
      <c r="L42" s="195" t="s">
        <v>88</v>
      </c>
      <c r="M42" s="173" t="s">
        <v>85</v>
      </c>
    </row>
    <row r="43" spans="2:13" ht="19.95" customHeight="1">
      <c r="B43" s="196"/>
      <c r="C43" s="193" t="s">
        <v>78</v>
      </c>
      <c r="D43" s="197" t="s">
        <v>68</v>
      </c>
      <c r="E43" s="228">
        <f t="shared" si="6"/>
        <v>4875</v>
      </c>
      <c r="F43" s="224">
        <v>0</v>
      </c>
      <c r="G43" s="224">
        <f t="shared" si="11"/>
        <v>4875</v>
      </c>
      <c r="H43" s="194">
        <v>0</v>
      </c>
      <c r="I43" s="225">
        <f t="shared" si="12"/>
        <v>4875</v>
      </c>
      <c r="J43" s="226">
        <f t="shared" si="13"/>
        <v>146.25</v>
      </c>
      <c r="K43" s="227">
        <f t="shared" si="14"/>
        <v>4728.75</v>
      </c>
      <c r="L43" s="195" t="s">
        <v>88</v>
      </c>
      <c r="M43" s="173" t="s">
        <v>86</v>
      </c>
    </row>
    <row r="44" spans="2:13" ht="19.95" customHeight="1">
      <c r="B44" s="196"/>
      <c r="C44" s="193" t="s">
        <v>78</v>
      </c>
      <c r="D44" s="197" t="s">
        <v>90</v>
      </c>
      <c r="E44" s="228">
        <f t="shared" si="6"/>
        <v>0</v>
      </c>
      <c r="F44" s="224">
        <v>0</v>
      </c>
      <c r="G44" s="224">
        <f t="shared" si="11"/>
        <v>0</v>
      </c>
      <c r="H44" s="194">
        <v>0</v>
      </c>
      <c r="I44" s="225">
        <f t="shared" si="12"/>
        <v>0</v>
      </c>
      <c r="J44" s="226">
        <f t="shared" si="13"/>
        <v>0</v>
      </c>
      <c r="K44" s="227">
        <f t="shared" si="14"/>
        <v>0</v>
      </c>
      <c r="L44" s="195" t="s">
        <v>88</v>
      </c>
      <c r="M44" s="173" t="s">
        <v>91</v>
      </c>
    </row>
    <row r="45" spans="2:13" ht="19.95" customHeight="1">
      <c r="B45" s="196"/>
      <c r="C45" s="193" t="s">
        <v>17</v>
      </c>
      <c r="D45" s="197" t="s">
        <v>130</v>
      </c>
      <c r="E45" s="228">
        <f t="shared" si="6"/>
        <v>0</v>
      </c>
      <c r="F45" s="224">
        <v>0</v>
      </c>
      <c r="G45" s="224">
        <f t="shared" si="11"/>
        <v>0</v>
      </c>
      <c r="H45" s="194">
        <v>0</v>
      </c>
      <c r="I45" s="225">
        <f t="shared" si="12"/>
        <v>0</v>
      </c>
      <c r="J45" s="226">
        <f t="shared" si="13"/>
        <v>0</v>
      </c>
      <c r="K45" s="227">
        <f t="shared" si="14"/>
        <v>0</v>
      </c>
      <c r="L45" s="172" t="s">
        <v>88</v>
      </c>
      <c r="M45" s="200" t="s">
        <v>131</v>
      </c>
    </row>
    <row r="46" spans="2:13" ht="19.95" customHeight="1">
      <c r="B46" s="196"/>
      <c r="C46" s="193" t="s">
        <v>78</v>
      </c>
      <c r="D46" s="197" t="s">
        <v>69</v>
      </c>
      <c r="E46" s="228">
        <f>SUM(G73)</f>
        <v>0</v>
      </c>
      <c r="F46" s="224">
        <v>0</v>
      </c>
      <c r="G46" s="224">
        <f t="shared" si="7"/>
        <v>0</v>
      </c>
      <c r="H46" s="194">
        <v>0</v>
      </c>
      <c r="I46" s="225">
        <f t="shared" si="8"/>
        <v>0</v>
      </c>
      <c r="J46" s="226">
        <f t="shared" si="9"/>
        <v>0</v>
      </c>
      <c r="K46" s="227">
        <f t="shared" si="10"/>
        <v>0</v>
      </c>
      <c r="L46" s="195" t="s">
        <v>88</v>
      </c>
      <c r="M46" s="174" t="s">
        <v>87</v>
      </c>
    </row>
    <row r="47" spans="2:13" ht="19.95" customHeight="1">
      <c r="B47" s="196" t="s">
        <v>60</v>
      </c>
      <c r="C47" s="193" t="s">
        <v>78</v>
      </c>
      <c r="D47" s="197" t="s">
        <v>71</v>
      </c>
      <c r="E47" s="228">
        <f>SUM(G74)</f>
        <v>927.10300000000007</v>
      </c>
      <c r="F47" s="224">
        <v>0</v>
      </c>
      <c r="G47" s="224">
        <f t="shared" si="7"/>
        <v>927.10300000000007</v>
      </c>
      <c r="H47" s="194">
        <v>0</v>
      </c>
      <c r="I47" s="225">
        <f t="shared" si="8"/>
        <v>927.10300000000007</v>
      </c>
      <c r="J47" s="226">
        <f t="shared" si="9"/>
        <v>27.813090000000003</v>
      </c>
      <c r="K47" s="227">
        <f t="shared" si="10"/>
        <v>899.28991000000008</v>
      </c>
      <c r="L47" s="195" t="s">
        <v>88</v>
      </c>
      <c r="M47" s="172" t="s">
        <v>82</v>
      </c>
    </row>
    <row r="48" spans="2:13" ht="19.95" customHeight="1">
      <c r="B48" s="196" t="s">
        <v>24</v>
      </c>
      <c r="C48" s="193" t="s">
        <v>61</v>
      </c>
      <c r="D48" s="197" t="s">
        <v>97</v>
      </c>
      <c r="E48" s="228">
        <f>SUM(G75)</f>
        <v>2225.0472</v>
      </c>
      <c r="F48" s="224">
        <v>0</v>
      </c>
      <c r="G48" s="224">
        <f t="shared" si="7"/>
        <v>2225.0472</v>
      </c>
      <c r="H48" s="194">
        <v>0</v>
      </c>
      <c r="I48" s="225">
        <f t="shared" si="8"/>
        <v>2225.0472</v>
      </c>
      <c r="J48" s="226">
        <f t="shared" si="9"/>
        <v>66.751415999999992</v>
      </c>
      <c r="K48" s="227">
        <f t="shared" si="10"/>
        <v>2158.2957839999999</v>
      </c>
      <c r="L48" s="195" t="s">
        <v>88</v>
      </c>
      <c r="M48" s="172" t="s">
        <v>98</v>
      </c>
    </row>
    <row r="49" spans="1:13" ht="19.95" customHeight="1">
      <c r="B49" s="196" t="s">
        <v>25</v>
      </c>
      <c r="C49" s="193" t="s">
        <v>61</v>
      </c>
      <c r="D49" s="197" t="s">
        <v>79</v>
      </c>
      <c r="E49" s="228">
        <f>SUM(G76)</f>
        <v>1483.3648000000001</v>
      </c>
      <c r="F49" s="224">
        <v>0</v>
      </c>
      <c r="G49" s="224">
        <f t="shared" si="7"/>
        <v>1483.3648000000001</v>
      </c>
      <c r="H49" s="194">
        <v>0</v>
      </c>
      <c r="I49" s="225">
        <f t="shared" si="8"/>
        <v>1483.3648000000001</v>
      </c>
      <c r="J49" s="226">
        <f t="shared" si="9"/>
        <v>44.500943999999997</v>
      </c>
      <c r="K49" s="227">
        <f t="shared" si="10"/>
        <v>1438.8638560000002</v>
      </c>
      <c r="L49" s="195" t="s">
        <v>88</v>
      </c>
      <c r="M49" s="172" t="s">
        <v>89</v>
      </c>
    </row>
    <row r="50" spans="1:13" ht="23.4" customHeight="1">
      <c r="B50" s="199"/>
      <c r="C50" s="200"/>
      <c r="D50" s="229"/>
      <c r="E50" s="230"/>
      <c r="F50" s="223"/>
      <c r="G50" s="231">
        <f>SUM(G38:G49)</f>
        <v>18542.060000000001</v>
      </c>
      <c r="H50" s="231">
        <f>SUM(H38:H49)</f>
        <v>0</v>
      </c>
      <c r="I50" s="232">
        <f>SUM(I38:I49)</f>
        <v>18542.060000000001</v>
      </c>
      <c r="J50" s="231">
        <f>SUM(J38:J49)</f>
        <v>556.26179999999999</v>
      </c>
      <c r="K50" s="232">
        <f>SUM(K38:K49)</f>
        <v>17985.798200000001</v>
      </c>
      <c r="L50" s="233"/>
      <c r="M50" s="233"/>
    </row>
    <row r="51" spans="1:13" ht="15.6">
      <c r="B51" s="61"/>
      <c r="C51" s="61"/>
      <c r="D51" s="62"/>
      <c r="E51" s="184"/>
      <c r="F51" s="185"/>
      <c r="G51" s="185"/>
      <c r="H51" s="186"/>
      <c r="I51" s="58"/>
      <c r="J51" s="58"/>
    </row>
    <row r="52" spans="1:13" ht="15.6">
      <c r="B52" s="61"/>
      <c r="C52" s="61"/>
      <c r="D52" s="62"/>
      <c r="E52" s="184"/>
      <c r="F52" s="185"/>
      <c r="G52" s="185"/>
      <c r="H52" s="185"/>
      <c r="I52" s="185"/>
      <c r="J52" s="58"/>
    </row>
    <row r="53" spans="1:13" s="175" customFormat="1" ht="14.55" customHeight="1">
      <c r="E53" s="187"/>
      <c r="F53" s="187"/>
      <c r="G53" s="187"/>
      <c r="H53" s="187"/>
      <c r="I53" s="58"/>
      <c r="J53" s="58"/>
      <c r="K53" s="58"/>
      <c r="L53" s="58"/>
      <c r="M53" s="58"/>
    </row>
    <row r="54" spans="1:13" ht="13.8">
      <c r="E54" s="188"/>
      <c r="F54" s="188"/>
      <c r="G54" s="188"/>
      <c r="H54" s="188"/>
      <c r="I54" s="58"/>
      <c r="J54" s="58"/>
    </row>
    <row r="55" spans="1:13" ht="13.8">
      <c r="E55" s="188"/>
      <c r="F55" s="188"/>
      <c r="G55" s="188"/>
      <c r="H55" s="188"/>
      <c r="I55" s="58"/>
      <c r="J55" s="58"/>
    </row>
    <row r="56" spans="1:13" ht="13.8">
      <c r="E56" s="188"/>
      <c r="F56" s="188"/>
      <c r="G56" s="188"/>
      <c r="H56" s="188"/>
      <c r="I56" s="58"/>
      <c r="J56" s="58"/>
    </row>
    <row r="57" spans="1:13" ht="13.8">
      <c r="E57" s="188"/>
      <c r="F57" s="188"/>
      <c r="G57" s="188"/>
      <c r="H57" s="188"/>
      <c r="I57" s="58"/>
      <c r="J57" s="58"/>
    </row>
    <row r="58" spans="1:13" ht="13.8">
      <c r="A58" s="64"/>
      <c r="B58" s="65"/>
      <c r="C58" s="65"/>
      <c r="E58" s="66"/>
      <c r="F58" s="58"/>
      <c r="G58" s="58"/>
      <c r="H58" s="87"/>
      <c r="I58" s="87"/>
      <c r="J58" s="58"/>
    </row>
    <row r="59" spans="1:13" s="45" customFormat="1" ht="13.8">
      <c r="E59" s="44"/>
      <c r="F59" s="44"/>
      <c r="G59" s="44"/>
      <c r="H59" s="87"/>
      <c r="I59" s="87"/>
      <c r="J59" s="58"/>
      <c r="K59" s="58"/>
    </row>
    <row r="60" spans="1:13" s="45" customFormat="1" ht="13.8">
      <c r="E60" s="44"/>
      <c r="F60" s="44"/>
      <c r="G60" s="44"/>
      <c r="H60" s="87"/>
      <c r="I60" s="87"/>
      <c r="J60" s="58"/>
      <c r="K60" s="58"/>
    </row>
    <row r="61" spans="1:13" s="45" customFormat="1" ht="13.8">
      <c r="E61" s="44"/>
      <c r="F61" s="44"/>
      <c r="G61" s="44"/>
      <c r="H61" s="87"/>
      <c r="I61" s="87"/>
      <c r="J61" s="58"/>
      <c r="K61" s="58"/>
    </row>
    <row r="62" spans="1:13" s="45" customFormat="1" ht="13.8" hidden="1">
      <c r="E62" s="44"/>
      <c r="F62" s="44"/>
      <c r="G62" s="44"/>
      <c r="H62" s="87"/>
      <c r="I62" s="87"/>
      <c r="J62" s="58"/>
      <c r="K62" s="58"/>
    </row>
    <row r="63" spans="1:13" ht="19.95" hidden="1" customHeight="1">
      <c r="B63" s="211" t="s">
        <v>80</v>
      </c>
      <c r="C63" s="212"/>
      <c r="D63" s="212"/>
      <c r="E63" s="212"/>
      <c r="F63" s="212"/>
      <c r="G63" s="213"/>
      <c r="H63" s="87"/>
      <c r="I63" s="87"/>
      <c r="J63" s="58"/>
    </row>
    <row r="64" spans="1:13" ht="19.95" hidden="1" customHeight="1">
      <c r="B64" s="85" t="s">
        <v>41</v>
      </c>
      <c r="C64" s="85" t="s">
        <v>13</v>
      </c>
      <c r="D64" s="85" t="s">
        <v>14</v>
      </c>
      <c r="E64" s="86" t="s">
        <v>22</v>
      </c>
      <c r="F64" s="86" t="s">
        <v>15</v>
      </c>
      <c r="G64" s="134" t="s">
        <v>16</v>
      </c>
      <c r="H64" s="87"/>
      <c r="I64" s="87"/>
      <c r="J64" s="58"/>
    </row>
    <row r="65" spans="2:10" ht="19.95" hidden="1" customHeight="1">
      <c r="B65" s="330" t="s">
        <v>23</v>
      </c>
      <c r="C65" s="329" t="s">
        <v>78</v>
      </c>
      <c r="D65" s="180" t="s">
        <v>70</v>
      </c>
      <c r="E65" s="89">
        <v>0.75</v>
      </c>
      <c r="F65" s="83">
        <v>0</v>
      </c>
      <c r="G65" s="88">
        <f>SUMIF($C4:$C32,"คุณนิมิต จุ้ยอยู่ทอง",$H4:$H32)*E65</f>
        <v>3406.5450000000001</v>
      </c>
      <c r="H65" s="90"/>
      <c r="I65" s="87"/>
      <c r="J65" s="58"/>
    </row>
    <row r="66" spans="2:10" ht="19.95" hidden="1" customHeight="1">
      <c r="B66" s="95"/>
      <c r="C66" s="329" t="s">
        <v>78</v>
      </c>
      <c r="D66" s="180" t="s">
        <v>71</v>
      </c>
      <c r="E66" s="89">
        <v>0.75</v>
      </c>
      <c r="F66" s="83">
        <v>0</v>
      </c>
      <c r="G66" s="88">
        <f>SUMIF($C5:$C33,"คุณธวัช มีแสง",$H5:$H33)*E66</f>
        <v>0</v>
      </c>
      <c r="H66" s="90"/>
      <c r="I66" s="87"/>
      <c r="J66" s="58"/>
    </row>
    <row r="67" spans="2:10" ht="19.95" hidden="1" customHeight="1">
      <c r="B67" s="95"/>
      <c r="C67" s="329" t="s">
        <v>78</v>
      </c>
      <c r="D67" s="180" t="s">
        <v>72</v>
      </c>
      <c r="E67" s="89">
        <v>0.75</v>
      </c>
      <c r="F67" s="83">
        <v>0</v>
      </c>
      <c r="G67" s="88">
        <f>SUMIF($C5:$C32,"คุณแดง มูลสองแคว",$H5:$H32)*E67</f>
        <v>3000</v>
      </c>
      <c r="H67" s="90"/>
      <c r="I67" s="87"/>
      <c r="J67" s="58"/>
    </row>
    <row r="68" spans="2:10" ht="19.95" hidden="1" customHeight="1">
      <c r="B68" s="95"/>
      <c r="C68" s="329" t="s">
        <v>17</v>
      </c>
      <c r="D68" s="181" t="s">
        <v>73</v>
      </c>
      <c r="E68" s="89">
        <v>0.75</v>
      </c>
      <c r="F68" s="83">
        <v>0</v>
      </c>
      <c r="G68" s="88">
        <f>SUMIF($C7:$C35,"คุณนิยนต์ อยู่ทะเล",$H7:$H35)*E68</f>
        <v>0</v>
      </c>
      <c r="H68" s="90"/>
      <c r="I68" s="87"/>
      <c r="J68" s="58"/>
    </row>
    <row r="69" spans="2:10" ht="19.95" hidden="1" customHeight="1">
      <c r="B69" s="95"/>
      <c r="C69" s="329" t="s">
        <v>78</v>
      </c>
      <c r="D69" s="182" t="s">
        <v>67</v>
      </c>
      <c r="E69" s="89">
        <v>0.75</v>
      </c>
      <c r="F69" s="83">
        <v>0</v>
      </c>
      <c r="G69" s="88">
        <f>SUMIF($C8:$C36,"คุณรุ่งอรุณ อินบุญรอด",$H8:$H36)*E69</f>
        <v>2625</v>
      </c>
      <c r="H69" s="90"/>
      <c r="I69" s="87"/>
      <c r="J69" s="58"/>
    </row>
    <row r="70" spans="2:10" ht="19.95" hidden="1" customHeight="1">
      <c r="B70" s="95"/>
      <c r="C70" s="329" t="s">
        <v>78</v>
      </c>
      <c r="D70" s="182" t="s">
        <v>68</v>
      </c>
      <c r="E70" s="89">
        <v>0.75</v>
      </c>
      <c r="F70" s="83">
        <v>0</v>
      </c>
      <c r="G70" s="88">
        <f>SUMIF($C9:$C37,"คุณศศินาถ จุ้ยอยู่ทอง",$H9:$H37)*E70</f>
        <v>4875</v>
      </c>
      <c r="H70" s="90"/>
      <c r="I70" s="87"/>
      <c r="J70" s="58"/>
    </row>
    <row r="71" spans="2:10" ht="19.95" hidden="1" customHeight="1">
      <c r="B71" s="95"/>
      <c r="C71" s="329" t="s">
        <v>78</v>
      </c>
      <c r="D71" s="189" t="s">
        <v>90</v>
      </c>
      <c r="E71" s="89">
        <v>0.75</v>
      </c>
      <c r="F71" s="83">
        <v>0</v>
      </c>
      <c r="G71" s="88">
        <f>SUMIF($C10:$C38,"คุณณรงศ์ศักย์ เหล่ารัตนเวช",$H10:$H38)*E71</f>
        <v>0</v>
      </c>
      <c r="H71" s="90"/>
      <c r="I71" s="87"/>
      <c r="J71" s="58"/>
    </row>
    <row r="72" spans="2:10" ht="19.95" hidden="1" customHeight="1">
      <c r="B72" s="95"/>
      <c r="C72" s="329" t="s">
        <v>17</v>
      </c>
      <c r="D72" s="197" t="s">
        <v>130</v>
      </c>
      <c r="E72" s="89">
        <v>0.75</v>
      </c>
      <c r="F72" s="83">
        <v>0</v>
      </c>
      <c r="G72" s="88">
        <f>SUMIF($C11:$C39,"คุณชนัฐฎา สนคะมี",$H11:$H39)*E72</f>
        <v>0</v>
      </c>
      <c r="H72" s="90"/>
      <c r="I72" s="87"/>
      <c r="J72" s="58"/>
    </row>
    <row r="73" spans="2:10" ht="19.95" hidden="1" customHeight="1">
      <c r="B73" s="94"/>
      <c r="C73" s="329" t="s">
        <v>78</v>
      </c>
      <c r="D73" s="180" t="s">
        <v>69</v>
      </c>
      <c r="E73" s="89">
        <v>0.75</v>
      </c>
      <c r="F73" s="83">
        <v>0</v>
      </c>
      <c r="G73" s="88">
        <f>SUMIF($C11:$C39,"คุณธัญลักษณ์ หมื่นหลุบกุง",$H11:$H39)*E73</f>
        <v>0</v>
      </c>
      <c r="H73" s="90"/>
      <c r="I73" s="87"/>
      <c r="J73" s="58"/>
    </row>
    <row r="74" spans="2:10" ht="19.95" hidden="1" customHeight="1">
      <c r="B74" s="94" t="s">
        <v>60</v>
      </c>
      <c r="C74" s="89" t="s">
        <v>78</v>
      </c>
      <c r="D74" s="180" t="s">
        <v>71</v>
      </c>
      <c r="E74" s="89">
        <v>0.05</v>
      </c>
      <c r="F74" s="83">
        <v>0</v>
      </c>
      <c r="G74" s="88">
        <f>$H$32*E74</f>
        <v>927.10300000000007</v>
      </c>
      <c r="H74" s="87"/>
      <c r="I74" s="87"/>
      <c r="J74" s="58"/>
    </row>
    <row r="75" spans="2:10" ht="19.95" hidden="1" customHeight="1">
      <c r="B75" s="91" t="s">
        <v>24</v>
      </c>
      <c r="C75" s="89" t="s">
        <v>61</v>
      </c>
      <c r="D75" s="180" t="s">
        <v>97</v>
      </c>
      <c r="E75" s="89">
        <v>0.12</v>
      </c>
      <c r="F75" s="83">
        <v>0</v>
      </c>
      <c r="G75" s="88">
        <f>$H$32*E75</f>
        <v>2225.0472</v>
      </c>
      <c r="H75" s="87"/>
      <c r="I75" s="96"/>
      <c r="J75" s="58"/>
    </row>
    <row r="76" spans="2:10" ht="19.95" hidden="1" customHeight="1">
      <c r="B76" s="91" t="s">
        <v>25</v>
      </c>
      <c r="C76" s="89" t="s">
        <v>61</v>
      </c>
      <c r="D76" s="180" t="s">
        <v>79</v>
      </c>
      <c r="E76" s="89">
        <v>0.08</v>
      </c>
      <c r="F76" s="83">
        <v>0</v>
      </c>
      <c r="G76" s="88">
        <f>$H$32*E76</f>
        <v>1483.3648000000001</v>
      </c>
      <c r="H76" s="87"/>
      <c r="I76" s="87"/>
      <c r="J76" s="58"/>
    </row>
    <row r="77" spans="2:10" ht="21" hidden="1" customHeight="1">
      <c r="B77" s="61"/>
      <c r="C77" s="61"/>
      <c r="D77" s="62"/>
      <c r="E77" s="63"/>
      <c r="F77" s="60"/>
      <c r="G77" s="209">
        <f>SUM(G65:G76)</f>
        <v>18542.060000000001</v>
      </c>
      <c r="H77" s="87"/>
      <c r="I77" s="58"/>
      <c r="J77" s="58"/>
    </row>
    <row r="78" spans="2:10" s="45" customFormat="1" ht="13.95" customHeight="1">
      <c r="E78" s="44"/>
      <c r="F78" s="44"/>
      <c r="G78" s="44"/>
      <c r="H78" s="87"/>
      <c r="I78" s="44"/>
    </row>
    <row r="79" spans="2:10" s="45" customFormat="1" ht="14.55" customHeight="1">
      <c r="E79" s="44"/>
      <c r="F79" s="44"/>
      <c r="G79" s="44"/>
      <c r="H79" s="87"/>
      <c r="I79" s="44"/>
    </row>
    <row r="80" spans="2:10" ht="13.8">
      <c r="H80" s="87"/>
    </row>
    <row r="81" spans="8:8" ht="13.95" customHeight="1">
      <c r="H81" s="87"/>
    </row>
    <row r="82" spans="8:8" ht="13.95" customHeight="1"/>
    <row r="83" spans="8:8" ht="13.95" customHeight="1"/>
    <row r="84" spans="8:8" ht="13.8"/>
    <row r="85" spans="8:8" ht="13.8"/>
    <row r="86" spans="8:8" ht="13.8"/>
    <row r="87" spans="8:8" ht="13.8"/>
    <row r="88" spans="8:8" ht="13.8"/>
    <row r="89" spans="8:8" ht="13.8"/>
    <row r="90" spans="8:8" ht="13.8"/>
    <row r="91" spans="8:8" ht="13.8"/>
    <row r="92" spans="8:8" ht="13.8"/>
    <row r="93" spans="8:8" ht="13.8"/>
    <row r="94" spans="8:8" ht="13.8"/>
    <row r="95" spans="8:8" ht="13.8"/>
    <row r="96" spans="8:8" ht="13.8"/>
    <row r="97" ht="13.8"/>
    <row r="98" ht="13.8"/>
    <row r="99" ht="13.8"/>
    <row r="100" ht="13.8"/>
    <row r="101" ht="13.8"/>
    <row r="102" ht="13.8"/>
    <row r="103" ht="13.8"/>
    <row r="104" ht="13.8"/>
    <row r="105" ht="13.8"/>
    <row r="106" ht="13.8"/>
    <row r="107" ht="13.8"/>
    <row r="108" ht="13.8"/>
    <row r="109" ht="13.8"/>
    <row r="110" ht="13.8"/>
    <row r="111" ht="13.8"/>
    <row r="112" ht="13.8"/>
    <row r="113" ht="13.8"/>
    <row r="114" ht="13.8"/>
    <row r="115" ht="13.8"/>
    <row r="116" ht="13.8"/>
    <row r="117" ht="13.8"/>
    <row r="118" ht="13.8"/>
    <row r="119" ht="13.8"/>
    <row r="120" ht="13.8"/>
    <row r="121" ht="13.8"/>
    <row r="122" ht="13.8"/>
    <row r="123" ht="13.8"/>
    <row r="124" ht="13.8"/>
    <row r="125" ht="13.8"/>
    <row r="126" ht="13.8"/>
    <row r="127" ht="13.8"/>
    <row r="128" ht="13.8"/>
    <row r="129" ht="13.8"/>
    <row r="130" ht="13.8"/>
    <row r="131" ht="13.8"/>
    <row r="132" ht="13.8"/>
    <row r="133" ht="13.8"/>
    <row r="134" ht="13.8"/>
    <row r="135" ht="13.8"/>
    <row r="136" ht="13.8"/>
    <row r="137" ht="13.8"/>
    <row r="138" ht="13.95" customHeight="1"/>
    <row r="139" ht="13.95" customHeight="1"/>
    <row r="140" ht="13.95" customHeight="1"/>
    <row r="141" ht="13.95" customHeight="1"/>
    <row r="142" ht="13.95" customHeight="1"/>
    <row r="143" ht="13.95" customHeight="1"/>
    <row r="144" ht="13.95" customHeight="1"/>
    <row r="145" ht="13.95" customHeight="1"/>
    <row r="146" ht="13.95" customHeight="1"/>
    <row r="147" ht="13.95" customHeight="1"/>
    <row r="148" ht="13.95" customHeight="1"/>
    <row r="149" ht="13.95" customHeight="1"/>
    <row r="150" ht="13.95" customHeight="1"/>
    <row r="151" ht="13.95" customHeight="1"/>
    <row r="152" ht="13.95" customHeight="1"/>
    <row r="153" ht="13.95" customHeight="1"/>
    <row r="154" ht="13.95" customHeight="1"/>
    <row r="155" ht="13.95" customHeight="1"/>
    <row r="156" ht="13.95" customHeight="1"/>
    <row r="157" ht="13.95" customHeight="1"/>
    <row r="158" ht="13.95" customHeight="1"/>
    <row r="159" ht="13.95" customHeight="1"/>
    <row r="160" ht="13.95" customHeight="1"/>
    <row r="161" ht="13.95" customHeight="1"/>
    <row r="162" ht="13.95" customHeight="1"/>
    <row r="163" ht="13.95" customHeight="1"/>
    <row r="164" ht="13.95" customHeight="1"/>
    <row r="165" ht="13.95" customHeight="1"/>
    <row r="166" ht="13.95" customHeight="1"/>
    <row r="167" ht="13.95" customHeight="1"/>
    <row r="168" ht="13.95" customHeight="1"/>
    <row r="169" ht="13.95" customHeight="1"/>
    <row r="170" ht="13.95" customHeight="1"/>
    <row r="171" ht="13.95" customHeight="1"/>
    <row r="172" ht="13.95" customHeight="1"/>
    <row r="173" ht="13.95" customHeight="1"/>
    <row r="174" ht="13.95" customHeight="1"/>
    <row r="175" ht="13.95" customHeight="1"/>
    <row r="176" ht="13.95" customHeight="1"/>
    <row r="177" ht="13.95" customHeight="1"/>
    <row r="178" ht="13.95" customHeight="1"/>
    <row r="179" ht="13.95" customHeight="1"/>
    <row r="180" ht="13.95" customHeight="1"/>
    <row r="181" ht="13.95" customHeight="1"/>
    <row r="182" ht="13.95" customHeight="1"/>
    <row r="183" ht="13.95" customHeight="1"/>
    <row r="184" ht="13.95" customHeight="1"/>
    <row r="185" ht="13.95" customHeight="1"/>
    <row r="186" ht="13.95" customHeight="1"/>
    <row r="187" ht="13.95" customHeight="1"/>
    <row r="188" ht="13.95" customHeight="1"/>
    <row r="189" ht="13.95" customHeight="1"/>
    <row r="190" ht="13.95" customHeight="1"/>
    <row r="191" ht="13.95" customHeight="1"/>
    <row r="192" ht="13.95" customHeight="1"/>
    <row r="193" ht="13.95" customHeight="1"/>
    <row r="194" ht="13.95" customHeight="1"/>
    <row r="195" ht="13.95" customHeight="1"/>
    <row r="196" ht="13.95" customHeight="1"/>
    <row r="197" ht="13.95" customHeight="1"/>
    <row r="198" ht="13.95" customHeight="1"/>
    <row r="199" ht="13.95" customHeight="1"/>
    <row r="200" ht="13.95" customHeight="1"/>
    <row r="201" ht="13.95" customHeight="1"/>
    <row r="202" ht="13.95" customHeight="1"/>
    <row r="203" ht="13.95" customHeight="1"/>
    <row r="204" ht="13.95" customHeight="1"/>
    <row r="205" ht="13.95" customHeight="1"/>
    <row r="206" ht="13.95" customHeight="1"/>
    <row r="207" ht="13.95" customHeight="1"/>
    <row r="208" ht="13.95" customHeight="1"/>
    <row r="209" ht="13.95" customHeight="1"/>
    <row r="210" ht="13.95" customHeight="1"/>
    <row r="211" ht="13.95" customHeight="1"/>
    <row r="212" ht="13.95" customHeight="1"/>
    <row r="213" ht="13.95" customHeight="1"/>
    <row r="214" ht="13.95" customHeight="1"/>
    <row r="215" ht="13.95" customHeight="1"/>
    <row r="216" ht="13.95" customHeight="1"/>
    <row r="217" ht="13.95" customHeight="1"/>
    <row r="218" ht="13.95" customHeight="1"/>
    <row r="219" ht="13.95" customHeight="1"/>
    <row r="220" ht="13.95" customHeight="1"/>
    <row r="221" ht="13.95" customHeight="1"/>
    <row r="222" ht="13.95" customHeight="1"/>
    <row r="223" ht="13.95" customHeight="1"/>
    <row r="224" ht="13.95" customHeight="1"/>
    <row r="225" ht="13.95" customHeight="1"/>
    <row r="226" ht="13.95" customHeight="1"/>
    <row r="227" ht="13.95" customHeight="1"/>
    <row r="228" ht="13.95" customHeight="1"/>
    <row r="229" ht="13.95" customHeight="1"/>
    <row r="230" ht="13.95" customHeight="1"/>
    <row r="231" ht="13.95" customHeight="1"/>
    <row r="232" ht="13.95" customHeight="1"/>
    <row r="233" ht="13.95" customHeight="1"/>
    <row r="234" ht="13.95" customHeight="1"/>
    <row r="235" ht="13.95" customHeight="1"/>
    <row r="236" ht="13.95" customHeight="1"/>
    <row r="237" ht="13.95" customHeight="1"/>
    <row r="238" ht="13.95" customHeight="1"/>
    <row r="239" ht="13.95" customHeight="1"/>
    <row r="240" ht="13.95" customHeight="1"/>
    <row r="241" ht="13.95" customHeight="1"/>
    <row r="242" ht="13.95" customHeight="1"/>
    <row r="243" ht="13.95" customHeight="1"/>
    <row r="244" ht="13.95" customHeight="1"/>
    <row r="245" ht="13.95" customHeight="1"/>
    <row r="246" ht="13.95" customHeight="1"/>
    <row r="247" ht="13.95" customHeight="1"/>
    <row r="248" ht="13.95" customHeight="1"/>
    <row r="249" ht="13.95" customHeight="1"/>
    <row r="250" ht="13.95" customHeight="1"/>
    <row r="251" ht="13.95" customHeight="1"/>
    <row r="252" ht="13.95" customHeight="1"/>
    <row r="253" ht="13.95" customHeight="1"/>
    <row r="254" ht="13.95" customHeight="1"/>
    <row r="255" ht="13.95" customHeight="1"/>
    <row r="256" ht="13.95" customHeight="1"/>
    <row r="257" ht="13.95" customHeight="1"/>
    <row r="258" ht="13.95" customHeight="1"/>
    <row r="259" ht="13.95" customHeight="1"/>
    <row r="260" ht="13.95" customHeight="1"/>
    <row r="261" ht="13.95" customHeight="1"/>
    <row r="262" ht="13.95" customHeight="1"/>
    <row r="263" ht="13.95" customHeight="1"/>
    <row r="264" ht="13.95" customHeight="1"/>
    <row r="265" ht="13.95" customHeight="1"/>
    <row r="266" ht="13.95" customHeight="1"/>
    <row r="267" ht="13.95" customHeight="1"/>
    <row r="268" ht="13.95" customHeight="1"/>
    <row r="269" ht="13.95" customHeight="1"/>
    <row r="270" ht="13.95" customHeight="1"/>
    <row r="271" ht="13.95" customHeight="1"/>
    <row r="272" ht="13.95" customHeight="1"/>
    <row r="273" ht="13.95" customHeight="1"/>
    <row r="274" ht="13.95" customHeight="1"/>
    <row r="275" ht="13.95" customHeight="1"/>
    <row r="276" ht="13.95" customHeight="1"/>
    <row r="277" ht="13.95" customHeight="1"/>
    <row r="278" ht="13.95" customHeight="1"/>
    <row r="279" ht="13.95" customHeight="1"/>
    <row r="280" ht="13.95" customHeight="1"/>
    <row r="281" ht="13.95" customHeight="1"/>
    <row r="282" ht="13.95" customHeight="1"/>
    <row r="283" ht="13.95" customHeight="1"/>
    <row r="284" ht="13.95" customHeight="1"/>
    <row r="285" ht="13.95" customHeight="1"/>
    <row r="286" ht="13.95" customHeight="1"/>
    <row r="287" ht="13.95" customHeight="1"/>
    <row r="288" ht="13.95" customHeight="1"/>
    <row r="289" ht="13.95" customHeight="1"/>
    <row r="290" ht="13.95" customHeight="1"/>
    <row r="291" ht="13.95" customHeight="1"/>
    <row r="292" ht="13.95" customHeight="1"/>
    <row r="293" ht="13.95" customHeight="1"/>
    <row r="294" ht="13.95" customHeight="1"/>
    <row r="295" ht="13.95" customHeight="1"/>
  </sheetData>
  <mergeCells count="9">
    <mergeCell ref="B35:M36"/>
    <mergeCell ref="A1:H1"/>
    <mergeCell ref="A2:H2"/>
    <mergeCell ref="B5:B13"/>
    <mergeCell ref="B14:B22"/>
    <mergeCell ref="B23:B31"/>
    <mergeCell ref="D5:D13"/>
    <mergeCell ref="D14:D22"/>
    <mergeCell ref="D23:D31"/>
  </mergeCells>
  <printOptions horizontalCentered="1"/>
  <pageMargins left="0.27559055118110198" right="0.196850393700787" top="0.43307086614173201" bottom="0.35433070866141703" header="0.43307086614173201" footer="0"/>
  <pageSetup paperSize="9" scale="50" orientation="landscape" r:id="rId1"/>
  <ignoredErrors>
    <ignoredError sqref="H8 G9:H9 H10 G13:H13 G18:H18 G14:H14 G15:H15 G16:H16 G17:H17 G22:H22" formula="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6</vt:i4>
      </vt:variant>
    </vt:vector>
  </HeadingPairs>
  <TitlesOfParts>
    <vt:vector size="11" baseType="lpstr">
      <vt:lpstr>Ref</vt:lpstr>
      <vt:lpstr>ตั้งเบิกคอมฯ  CN</vt:lpstr>
      <vt:lpstr>สรุปยอดเบิก CN</vt:lpstr>
      <vt:lpstr>คอมฯ CBN</vt:lpstr>
      <vt:lpstr>สรุปยอดเบิก CBN</vt:lpstr>
      <vt:lpstr>'คอมฯ CBN'!Print_Area</vt:lpstr>
      <vt:lpstr>'ตั้งเบิกคอมฯ  CN'!Print_Area</vt:lpstr>
      <vt:lpstr>'สรุปยอดเบิก CBN'!Print_Area</vt:lpstr>
      <vt:lpstr>'สรุปยอดเบิก CN'!Print_Area</vt:lpstr>
      <vt:lpstr>'คอมฯ CBN'!Print_Titles</vt:lpstr>
      <vt:lpstr>'ตั้งเบิกคอมฯ  CN'!Print_Titles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Chantrapprn</dc:creator>
  <cp:lastModifiedBy>HQSALE6509NB002</cp:lastModifiedBy>
  <cp:lastPrinted>2025-03-11T08:13:22Z</cp:lastPrinted>
  <dcterms:created xsi:type="dcterms:W3CDTF">2022-04-03T17:11:16Z</dcterms:created>
  <dcterms:modified xsi:type="dcterms:W3CDTF">2025-03-11T08:16:45Z</dcterms:modified>
</cp:coreProperties>
</file>