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5 Sale commission\03 ตั้งเบิก Sales Commission\02 (เงื่อนไขใหม่)\"/>
    </mc:Choice>
  </mc:AlternateContent>
  <xr:revisionPtr revIDLastSave="0" documentId="13_ncr:1_{E8515DFF-B9D7-435F-B079-622F0FF657A8}" xr6:coauthVersionLast="47" xr6:coauthVersionMax="47" xr10:uidLastSave="{00000000-0000-0000-0000-000000000000}"/>
  <bookViews>
    <workbookView xWindow="-108" yWindow="-108" windowWidth="23256" windowHeight="12456" activeTab="1" xr2:uid="{195A0F0A-E35C-4AD4-8EE8-0CFEA0DC919D}"/>
  </bookViews>
  <sheets>
    <sheet name="Ref" sheetId="6" r:id="rId1"/>
    <sheet name="รายการตั้งเบิกคอมฯ  CN" sheetId="1" r:id="rId2"/>
    <sheet name="สรุปยอดเบิก CN" sheetId="5" state="hidden"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'รายการตั้งเบิกคอมฯ  CN'!#REF!</definedName>
    <definedName name="_xlnm.Print_Area" localSheetId="3">'คอมฯ CBN'!$A$1:$U$30</definedName>
    <definedName name="_xlnm.Print_Area" localSheetId="1">'รายการตั้งเบิกคอมฯ  CN'!$A$1:$AM$153</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'รายการตั้งเบิกคอมฯ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5" i="1" l="1"/>
  <c r="AC15" i="1"/>
  <c r="AB19" i="1"/>
  <c r="AC19" i="1"/>
  <c r="AB23" i="1"/>
  <c r="AC23" i="1"/>
  <c r="AB27" i="1"/>
  <c r="AC27" i="1"/>
  <c r="AB31" i="1"/>
  <c r="AC31" i="1"/>
  <c r="AB35" i="1"/>
  <c r="AC35" i="1"/>
  <c r="AB39" i="1"/>
  <c r="AC39" i="1"/>
  <c r="AB43" i="1"/>
  <c r="AC43" i="1"/>
  <c r="AB47" i="1"/>
  <c r="AC47" i="1"/>
  <c r="AB51" i="1"/>
  <c r="AC51" i="1"/>
  <c r="AB55" i="1"/>
  <c r="AC55" i="1"/>
  <c r="AB59" i="1"/>
  <c r="AC59" i="1"/>
  <c r="AB63" i="1"/>
  <c r="AC63" i="1"/>
  <c r="AB67" i="1"/>
  <c r="AC67" i="1"/>
  <c r="AB71" i="1"/>
  <c r="AC71" i="1"/>
  <c r="AB75" i="1"/>
  <c r="AC75" i="1"/>
  <c r="AB79" i="1"/>
  <c r="AC79" i="1"/>
  <c r="AB83" i="1"/>
  <c r="AC83" i="1"/>
  <c r="AB87" i="1"/>
  <c r="AC87" i="1"/>
  <c r="AB91" i="1"/>
  <c r="AC91" i="1"/>
  <c r="AB95" i="1"/>
  <c r="AC95" i="1"/>
  <c r="AB99" i="1"/>
  <c r="AC99" i="1"/>
  <c r="AB103" i="1"/>
  <c r="AC103" i="1"/>
  <c r="AB107" i="1"/>
  <c r="AC107" i="1"/>
  <c r="AB111" i="1"/>
  <c r="AC111" i="1"/>
  <c r="AB115" i="1"/>
  <c r="AC115" i="1"/>
  <c r="AB123" i="1"/>
  <c r="AC123" i="1"/>
  <c r="AB135" i="1"/>
  <c r="AC139" i="1"/>
  <c r="AB143" i="1"/>
  <c r="AI15" i="1"/>
  <c r="AI19" i="1"/>
  <c r="AI23" i="1"/>
  <c r="AI27" i="1"/>
  <c r="AI31" i="1"/>
  <c r="AI35" i="1"/>
  <c r="AI39" i="1"/>
  <c r="AI43" i="1"/>
  <c r="AI47" i="1"/>
  <c r="AI51" i="1"/>
  <c r="AI55" i="1"/>
  <c r="AI59" i="1"/>
  <c r="AI63" i="1"/>
  <c r="AI67" i="1"/>
  <c r="AI71" i="1"/>
  <c r="AI75" i="1"/>
  <c r="AI79" i="1"/>
  <c r="AI83" i="1"/>
  <c r="AI87" i="1"/>
  <c r="AI91" i="1"/>
  <c r="AI95" i="1"/>
  <c r="AI99" i="1"/>
  <c r="AI103" i="1"/>
  <c r="AI107" i="1"/>
  <c r="AI111" i="1"/>
  <c r="AI115" i="1"/>
  <c r="AI131" i="1"/>
  <c r="AI11" i="1"/>
  <c r="AI7" i="1"/>
  <c r="AH7" i="1"/>
  <c r="AB11" i="1"/>
  <c r="AC11" i="1"/>
  <c r="AD7" i="1"/>
  <c r="AC7" i="1"/>
  <c r="AB7" i="1"/>
  <c r="J147" i="1"/>
  <c r="P119" i="1"/>
  <c r="P123" i="1"/>
  <c r="P127" i="1"/>
  <c r="P131" i="1"/>
  <c r="N135" i="1"/>
  <c r="O135" i="1" s="1"/>
  <c r="P135" i="1"/>
  <c r="P139" i="1"/>
  <c r="P143" i="1"/>
  <c r="N11" i="1"/>
  <c r="O11" i="1"/>
  <c r="N15" i="1"/>
  <c r="O15" i="1"/>
  <c r="N19" i="1"/>
  <c r="O19" i="1"/>
  <c r="N23" i="1"/>
  <c r="O23" i="1"/>
  <c r="N27" i="1"/>
  <c r="O27" i="1"/>
  <c r="N31" i="1"/>
  <c r="O31" i="1"/>
  <c r="N35" i="1"/>
  <c r="O35" i="1"/>
  <c r="N39" i="1"/>
  <c r="O39" i="1"/>
  <c r="N43" i="1"/>
  <c r="O43" i="1" s="1"/>
  <c r="N47" i="1"/>
  <c r="O47" i="1"/>
  <c r="N51" i="1"/>
  <c r="O51" i="1"/>
  <c r="N55" i="1"/>
  <c r="O55" i="1"/>
  <c r="N59" i="1"/>
  <c r="O59" i="1"/>
  <c r="N63" i="1"/>
  <c r="O63" i="1"/>
  <c r="N67" i="1"/>
  <c r="O67" i="1"/>
  <c r="N71" i="1"/>
  <c r="O71" i="1"/>
  <c r="N75" i="1"/>
  <c r="O75" i="1"/>
  <c r="N79" i="1"/>
  <c r="O79" i="1"/>
  <c r="N83" i="1"/>
  <c r="O83" i="1"/>
  <c r="N87" i="1"/>
  <c r="O87" i="1"/>
  <c r="N91" i="1"/>
  <c r="O91" i="1"/>
  <c r="N95" i="1"/>
  <c r="O95" i="1"/>
  <c r="N99" i="1"/>
  <c r="O99" i="1"/>
  <c r="N103" i="1"/>
  <c r="O103" i="1"/>
  <c r="N107" i="1"/>
  <c r="O107" i="1" s="1"/>
  <c r="N111" i="1"/>
  <c r="O111" i="1"/>
  <c r="N115" i="1"/>
  <c r="O115" i="1"/>
  <c r="N7" i="1"/>
  <c r="O7" i="1" s="1"/>
  <c r="Q7" i="1"/>
  <c r="AG143" i="1"/>
  <c r="AH143" i="1" s="1"/>
  <c r="AI143" i="1" s="1"/>
  <c r="X143" i="1"/>
  <c r="Y143" i="1" s="1"/>
  <c r="AA143" i="1" s="1"/>
  <c r="AC143" i="1" s="1"/>
  <c r="M143" i="1"/>
  <c r="N143" i="1" s="1"/>
  <c r="O143" i="1" s="1"/>
  <c r="AG139" i="1"/>
  <c r="AH139" i="1" s="1"/>
  <c r="AI139" i="1" s="1"/>
  <c r="X139" i="1"/>
  <c r="Y139" i="1" s="1"/>
  <c r="AA139" i="1" s="1"/>
  <c r="AB139" i="1" s="1"/>
  <c r="M139" i="1"/>
  <c r="N139" i="1" s="1"/>
  <c r="O139" i="1" s="1"/>
  <c r="AG135" i="1"/>
  <c r="AH135" i="1" s="1"/>
  <c r="AI135" i="1" s="1"/>
  <c r="X135" i="1"/>
  <c r="Y135" i="1" s="1"/>
  <c r="AA135" i="1" s="1"/>
  <c r="AC135" i="1" s="1"/>
  <c r="M135" i="1"/>
  <c r="AG131" i="1"/>
  <c r="AH131" i="1" s="1"/>
  <c r="X131" i="1"/>
  <c r="Y131" i="1" s="1"/>
  <c r="AA131" i="1" s="1"/>
  <c r="AB131" i="1" s="1"/>
  <c r="M131" i="1"/>
  <c r="N131" i="1" s="1"/>
  <c r="O131" i="1" s="1"/>
  <c r="AG127" i="1"/>
  <c r="AH127" i="1" s="1"/>
  <c r="AI127" i="1" s="1"/>
  <c r="X127" i="1"/>
  <c r="Y127" i="1" s="1"/>
  <c r="AA127" i="1" s="1"/>
  <c r="AC127" i="1" s="1"/>
  <c r="M127" i="1"/>
  <c r="N127" i="1" s="1"/>
  <c r="O127" i="1" s="1"/>
  <c r="AG123" i="1"/>
  <c r="AH123" i="1" s="1"/>
  <c r="AI123" i="1" s="1"/>
  <c r="X123" i="1"/>
  <c r="Y123" i="1" s="1"/>
  <c r="AA123" i="1" s="1"/>
  <c r="M123" i="1"/>
  <c r="N123" i="1" s="1"/>
  <c r="O123" i="1" s="1"/>
  <c r="AC131" i="1" l="1"/>
  <c r="AB127" i="1"/>
  <c r="AA144" i="1"/>
  <c r="AA140" i="1"/>
  <c r="AD139" i="1"/>
  <c r="AJ139" i="1" s="1"/>
  <c r="AA136" i="1"/>
  <c r="AA132" i="1"/>
  <c r="AD127" i="1"/>
  <c r="AJ127" i="1" s="1"/>
  <c r="AA128" i="1"/>
  <c r="AA124" i="1"/>
  <c r="AD131" i="1" l="1"/>
  <c r="AJ131" i="1" s="1"/>
  <c r="AD143" i="1"/>
  <c r="AJ143" i="1" s="1"/>
  <c r="AD123" i="1"/>
  <c r="AJ123" i="1" s="1"/>
  <c r="AD135" i="1"/>
  <c r="AJ135" i="1" s="1"/>
  <c r="R147" i="1" l="1"/>
  <c r="S147" i="1"/>
  <c r="T147" i="1"/>
  <c r="U147" i="1"/>
  <c r="AG87" i="1"/>
  <c r="AH87" i="1" s="1"/>
  <c r="X87" i="1"/>
  <c r="Y87" i="1" s="1"/>
  <c r="AA87" i="1" s="1"/>
  <c r="P87" i="1"/>
  <c r="M87" i="1"/>
  <c r="Q87" i="1" s="1"/>
  <c r="AA88" i="1" l="1"/>
  <c r="AD87" i="1" l="1"/>
  <c r="AJ87" i="1" s="1"/>
  <c r="AG95" i="1" l="1"/>
  <c r="AH95" i="1" s="1"/>
  <c r="X95" i="1"/>
  <c r="Y95" i="1" s="1"/>
  <c r="AA95" i="1" s="1"/>
  <c r="P95" i="1"/>
  <c r="M95" i="1"/>
  <c r="Q95" i="1" s="1"/>
  <c r="AG79" i="1"/>
  <c r="AH79" i="1" s="1"/>
  <c r="X79" i="1"/>
  <c r="Y79" i="1" s="1"/>
  <c r="AA79" i="1" s="1"/>
  <c r="P79" i="1"/>
  <c r="M79" i="1"/>
  <c r="Q79" i="1" s="1"/>
  <c r="AG71" i="1"/>
  <c r="AH71" i="1" s="1"/>
  <c r="X71" i="1"/>
  <c r="Y71" i="1" s="1"/>
  <c r="AA71" i="1" s="1"/>
  <c r="P71" i="1"/>
  <c r="M71" i="1"/>
  <c r="Q71" i="1" s="1"/>
  <c r="AG63" i="1"/>
  <c r="AH63" i="1" s="1"/>
  <c r="X63" i="1"/>
  <c r="Y63" i="1" s="1"/>
  <c r="AA63" i="1" s="1"/>
  <c r="P63" i="1"/>
  <c r="M63" i="1"/>
  <c r="AG59" i="1"/>
  <c r="AH59" i="1" s="1"/>
  <c r="X59" i="1"/>
  <c r="Y59" i="1" s="1"/>
  <c r="AA59" i="1" s="1"/>
  <c r="P59" i="1"/>
  <c r="M59" i="1"/>
  <c r="P39" i="1"/>
  <c r="AG67" i="1"/>
  <c r="AH67" i="1" s="1"/>
  <c r="X67" i="1"/>
  <c r="Y67" i="1" s="1"/>
  <c r="AA67" i="1" s="1"/>
  <c r="P67" i="1"/>
  <c r="M67" i="1"/>
  <c r="AG55" i="1"/>
  <c r="AH55" i="1" s="1"/>
  <c r="X55" i="1"/>
  <c r="Y55" i="1" s="1"/>
  <c r="AA55" i="1" s="1"/>
  <c r="P55" i="1"/>
  <c r="M55" i="1"/>
  <c r="Q55" i="1" s="1"/>
  <c r="AG51" i="1"/>
  <c r="AH51" i="1" s="1"/>
  <c r="X51" i="1"/>
  <c r="Y51" i="1" s="1"/>
  <c r="AA51" i="1" s="1"/>
  <c r="P51" i="1"/>
  <c r="M51" i="1"/>
  <c r="Q51" i="1" s="1"/>
  <c r="AG47" i="1"/>
  <c r="AH47" i="1" s="1"/>
  <c r="X47" i="1"/>
  <c r="Y47" i="1" s="1"/>
  <c r="AA47" i="1" s="1"/>
  <c r="P47" i="1"/>
  <c r="M47" i="1"/>
  <c r="Q47" i="1" s="1"/>
  <c r="AG43" i="1"/>
  <c r="AH43" i="1" s="1"/>
  <c r="X43" i="1"/>
  <c r="Y43" i="1" s="1"/>
  <c r="AA43" i="1" s="1"/>
  <c r="P43" i="1"/>
  <c r="M43" i="1"/>
  <c r="Q43" i="1" s="1"/>
  <c r="AG39" i="1"/>
  <c r="AH39" i="1" s="1"/>
  <c r="X39" i="1"/>
  <c r="Y39" i="1" s="1"/>
  <c r="AA39" i="1" s="1"/>
  <c r="M39" i="1"/>
  <c r="Q39" i="1" s="1"/>
  <c r="AG35" i="1"/>
  <c r="AH35" i="1" s="1"/>
  <c r="X35" i="1"/>
  <c r="Y35" i="1" s="1"/>
  <c r="AA35" i="1" s="1"/>
  <c r="P35" i="1"/>
  <c r="M35" i="1"/>
  <c r="Q35" i="1" s="1"/>
  <c r="P7" i="1"/>
  <c r="AG19" i="1"/>
  <c r="AH19" i="1" s="1"/>
  <c r="X19" i="1"/>
  <c r="Y19" i="1" s="1"/>
  <c r="AA19" i="1" s="1"/>
  <c r="P19" i="1"/>
  <c r="M19" i="1"/>
  <c r="Q19" i="1" s="1"/>
  <c r="X11" i="1"/>
  <c r="Y11" i="1" s="1"/>
  <c r="AA11" i="1" s="1"/>
  <c r="AG119" i="1"/>
  <c r="AH119" i="1" s="1"/>
  <c r="AI119" i="1" s="1"/>
  <c r="X119" i="1"/>
  <c r="Y119" i="1" s="1"/>
  <c r="AA119" i="1" s="1"/>
  <c r="M119" i="1"/>
  <c r="N119" i="1" s="1"/>
  <c r="O119" i="1" s="1"/>
  <c r="AG115" i="1"/>
  <c r="AH115" i="1" s="1"/>
  <c r="X115" i="1"/>
  <c r="Y115" i="1" s="1"/>
  <c r="AA115" i="1" s="1"/>
  <c r="P115" i="1"/>
  <c r="M115" i="1"/>
  <c r="Q115" i="1" s="1"/>
  <c r="AG11" i="1"/>
  <c r="AH11" i="1" s="1"/>
  <c r="P11" i="1"/>
  <c r="M11" i="1"/>
  <c r="P23" i="1"/>
  <c r="P15" i="1"/>
  <c r="AB119" i="1" l="1"/>
  <c r="AC119" i="1"/>
  <c r="AA96" i="1"/>
  <c r="Q11" i="1"/>
  <c r="AA80" i="1"/>
  <c r="AA72" i="1"/>
  <c r="AA64" i="1"/>
  <c r="AA60" i="1"/>
  <c r="AA68" i="1"/>
  <c r="AA56" i="1"/>
  <c r="AA52" i="1"/>
  <c r="AA48" i="1"/>
  <c r="AA44" i="1"/>
  <c r="AA40" i="1"/>
  <c r="AA36" i="1"/>
  <c r="AA20" i="1"/>
  <c r="AA120" i="1"/>
  <c r="AA116" i="1"/>
  <c r="AA12" i="1"/>
  <c r="AD95" i="1" l="1"/>
  <c r="AJ95" i="1" s="1"/>
  <c r="AD79" i="1"/>
  <c r="AJ79" i="1" s="1"/>
  <c r="AD71" i="1"/>
  <c r="AJ71" i="1" s="1"/>
  <c r="AD59" i="1"/>
  <c r="AJ59" i="1" s="1"/>
  <c r="AD39" i="1"/>
  <c r="AJ39" i="1" s="1"/>
  <c r="AD51" i="1"/>
  <c r="AJ51" i="1" s="1"/>
  <c r="AD63" i="1"/>
  <c r="AJ63" i="1" s="1"/>
  <c r="AD119" i="1"/>
  <c r="AJ119" i="1" s="1"/>
  <c r="AD67" i="1"/>
  <c r="AJ67" i="1" s="1"/>
  <c r="AD55" i="1"/>
  <c r="AJ55" i="1" s="1"/>
  <c r="AD35" i="1"/>
  <c r="AJ35" i="1" s="1"/>
  <c r="AD47" i="1"/>
  <c r="AJ47" i="1" s="1"/>
  <c r="AD43" i="1"/>
  <c r="AJ43" i="1" s="1"/>
  <c r="AD19" i="1"/>
  <c r="AJ19" i="1" s="1"/>
  <c r="AD115" i="1"/>
  <c r="AJ115" i="1" s="1"/>
  <c r="AD11" i="1"/>
  <c r="AJ11" i="1" s="1"/>
  <c r="AG7" i="1" l="1"/>
  <c r="AG15" i="1"/>
  <c r="AH15" i="1" s="1"/>
  <c r="AG23" i="1"/>
  <c r="AH23" i="1" s="1"/>
  <c r="AG27" i="1"/>
  <c r="AH27" i="1" s="1"/>
  <c r="AG31" i="1"/>
  <c r="AH31" i="1" s="1"/>
  <c r="AG75" i="1"/>
  <c r="AH75" i="1" s="1"/>
  <c r="AG83" i="1"/>
  <c r="AH83" i="1" s="1"/>
  <c r="AG91" i="1"/>
  <c r="AH91" i="1" s="1"/>
  <c r="AG99" i="1"/>
  <c r="AH99" i="1" s="1"/>
  <c r="AG103" i="1"/>
  <c r="AH103" i="1" s="1"/>
  <c r="AG107" i="1"/>
  <c r="AH107" i="1" s="1"/>
  <c r="AG111" i="1"/>
  <c r="AH111" i="1" s="1"/>
  <c r="Z147" i="1"/>
  <c r="X7" i="1"/>
  <c r="X15" i="1"/>
  <c r="Y15" i="1" s="1"/>
  <c r="AA15" i="1" s="1"/>
  <c r="X23" i="1"/>
  <c r="Y23" i="1" s="1"/>
  <c r="AA23" i="1" s="1"/>
  <c r="X27" i="1"/>
  <c r="Y27" i="1" s="1"/>
  <c r="AA27" i="1" s="1"/>
  <c r="X31" i="1"/>
  <c r="Y31" i="1" s="1"/>
  <c r="AA31" i="1" s="1"/>
  <c r="X75" i="1"/>
  <c r="Y75" i="1" s="1"/>
  <c r="AA75" i="1" s="1"/>
  <c r="X83" i="1"/>
  <c r="Y83" i="1" s="1"/>
  <c r="AA83" i="1" s="1"/>
  <c r="X91" i="1"/>
  <c r="Y91" i="1" s="1"/>
  <c r="AA91" i="1" s="1"/>
  <c r="X99" i="1"/>
  <c r="Y99" i="1" s="1"/>
  <c r="AA99" i="1" s="1"/>
  <c r="X103" i="1"/>
  <c r="Y103" i="1" s="1"/>
  <c r="AA103" i="1" s="1"/>
  <c r="X107" i="1"/>
  <c r="Y107" i="1" s="1"/>
  <c r="AA107" i="1" s="1"/>
  <c r="X111" i="1"/>
  <c r="Y111" i="1" s="1"/>
  <c r="AA111" i="1" s="1"/>
  <c r="V147" i="1"/>
  <c r="F13" i="5"/>
  <c r="F10" i="5"/>
  <c r="F6" i="5"/>
  <c r="E155" i="1"/>
  <c r="M7" i="1"/>
  <c r="M15" i="1"/>
  <c r="Q15" i="1" s="1"/>
  <c r="M23" i="1"/>
  <c r="Q23" i="1" s="1"/>
  <c r="M27" i="1"/>
  <c r="Q27" i="1" s="1"/>
  <c r="P27" i="1"/>
  <c r="M31" i="1"/>
  <c r="Q31" i="1" s="1"/>
  <c r="P31" i="1"/>
  <c r="M75" i="1"/>
  <c r="P75" i="1"/>
  <c r="M83" i="1"/>
  <c r="P83" i="1"/>
  <c r="E5" i="5" s="1"/>
  <c r="M91" i="1"/>
  <c r="P91" i="1"/>
  <c r="M99" i="1"/>
  <c r="Q99" i="1" s="1"/>
  <c r="P99" i="1"/>
  <c r="M103" i="1"/>
  <c r="Q103" i="1" s="1"/>
  <c r="P103" i="1"/>
  <c r="M107" i="1"/>
  <c r="F8" i="5" s="1"/>
  <c r="P107" i="1"/>
  <c r="M111" i="1"/>
  <c r="Q111" i="1" s="1"/>
  <c r="P111" i="1"/>
  <c r="Y7" i="1" l="1"/>
  <c r="AA7" i="1" s="1"/>
  <c r="F5" i="5"/>
  <c r="Q83" i="1"/>
  <c r="F12" i="5"/>
  <c r="Q75" i="1"/>
  <c r="F14" i="5"/>
  <c r="Q91" i="1"/>
  <c r="F7" i="5"/>
  <c r="E7" i="5"/>
  <c r="F9" i="5"/>
  <c r="F11" i="5"/>
  <c r="AI147" i="1"/>
  <c r="AH147" i="1"/>
  <c r="Y147" i="1"/>
  <c r="AA100" i="1"/>
  <c r="AA76" i="1"/>
  <c r="AA112" i="1"/>
  <c r="AA28" i="1"/>
  <c r="AA16" i="1"/>
  <c r="AA84" i="1"/>
  <c r="AA32" i="1"/>
  <c r="X147" i="1"/>
  <c r="M147" i="1"/>
  <c r="O147" i="1"/>
  <c r="AA104" i="1"/>
  <c r="AA92" i="1"/>
  <c r="AA108" i="1"/>
  <c r="AA24" i="1"/>
  <c r="N147" i="1"/>
  <c r="AJ7" i="1" l="1"/>
  <c r="AA8" i="1"/>
  <c r="AA147" i="1"/>
  <c r="Q147" i="1"/>
  <c r="AD23" i="1"/>
  <c r="AJ23" i="1" s="1"/>
  <c r="AD83" i="1"/>
  <c r="AJ83" i="1" s="1"/>
  <c r="AD107" i="1"/>
  <c r="AJ107" i="1" s="1"/>
  <c r="AD99" i="1"/>
  <c r="AJ99" i="1" s="1"/>
  <c r="AD91" i="1"/>
  <c r="AJ91" i="1" s="1"/>
  <c r="AD111" i="1"/>
  <c r="AJ111" i="1" s="1"/>
  <c r="AD103" i="1"/>
  <c r="AJ103" i="1" s="1"/>
  <c r="AD27" i="1"/>
  <c r="AJ27" i="1" s="1"/>
  <c r="AD15" i="1"/>
  <c r="AJ15" i="1" s="1"/>
  <c r="AC147" i="1"/>
  <c r="AD31" i="1"/>
  <c r="AJ31" i="1" s="1"/>
  <c r="AD75" i="1"/>
  <c r="AJ75" i="1" s="1"/>
  <c r="AJ147" i="1" l="1"/>
  <c r="AB147" i="1"/>
  <c r="IZ5" i="5" l="1"/>
  <c r="M5" i="5" s="1"/>
  <c r="N14" i="5"/>
  <c r="M14" i="5"/>
  <c r="N5" i="5"/>
  <c r="F33" i="5" l="1"/>
  <c r="F32" i="5"/>
  <c r="F30" i="5"/>
  <c r="F26" i="5"/>
  <c r="F23" i="5"/>
  <c r="F22" i="5"/>
  <c r="F20" i="5"/>
  <c r="E20" i="5"/>
  <c r="E19" i="5"/>
  <c r="E18" i="5"/>
  <c r="E17" i="5"/>
  <c r="E16" i="5"/>
  <c r="F16" i="5"/>
  <c r="E33" i="5" l="1"/>
  <c r="E32" i="5"/>
  <c r="E30" i="5"/>
  <c r="E26" i="5"/>
  <c r="H30" i="5"/>
  <c r="H32" i="5"/>
  <c r="H33" i="5"/>
  <c r="E24" i="5"/>
  <c r="E22" i="5"/>
  <c r="E21" i="5"/>
  <c r="E15" i="5"/>
  <c r="E23" i="5"/>
  <c r="H16" i="5"/>
  <c r="H20" i="5"/>
  <c r="H22" i="5"/>
  <c r="H23" i="5"/>
  <c r="E14" i="5"/>
  <c r="E13" i="5"/>
  <c r="E12" i="5"/>
  <c r="E11" i="5"/>
  <c r="E10" i="5"/>
  <c r="E9" i="5"/>
  <c r="E8" i="5"/>
  <c r="E6" i="5"/>
  <c r="G7" i="5"/>
  <c r="G8" i="5"/>
  <c r="G9" i="5"/>
  <c r="G10" i="5"/>
  <c r="H10" i="5" s="1"/>
  <c r="G11" i="5"/>
  <c r="G13" i="5"/>
  <c r="G14" i="5"/>
  <c r="G82" i="5" l="1"/>
  <c r="E46" i="5" s="1"/>
  <c r="G46" i="5" s="1"/>
  <c r="I46" i="5" s="1"/>
  <c r="H8" i="5"/>
  <c r="G12" i="5"/>
  <c r="H12" i="5" s="1"/>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72" i="3"/>
  <c r="E45" i="3" s="1"/>
  <c r="F30" i="3"/>
  <c r="G30" i="3" s="1"/>
  <c r="E30" i="3"/>
  <c r="F22" i="3"/>
  <c r="F20" i="3"/>
  <c r="F21" i="3"/>
  <c r="G21" i="3" s="1"/>
  <c r="E21" i="3"/>
  <c r="F12" i="3"/>
  <c r="E12" i="3"/>
  <c r="F24" i="5" l="1"/>
  <c r="H24" i="5" s="1"/>
  <c r="G86" i="5" s="1"/>
  <c r="E50" i="5" s="1"/>
  <c r="G50" i="5" s="1"/>
  <c r="I50" i="5" s="1"/>
  <c r="F15" i="5"/>
  <c r="F19" i="5"/>
  <c r="H19" i="5" s="1"/>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AK147" i="1" l="1"/>
  <c r="AM147" i="1"/>
  <c r="AL147" i="1"/>
  <c r="S30" i="2"/>
  <c r="T30" i="2"/>
  <c r="H6" i="5" l="1"/>
  <c r="G8" i="3" l="1"/>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147" i="1"/>
  <c r="G70" i="3" l="1"/>
  <c r="E43" i="3" s="1"/>
  <c r="G43" i="3" s="1"/>
  <c r="I43" i="3" s="1"/>
  <c r="J43" i="3" s="1"/>
  <c r="K43" i="3" s="1"/>
  <c r="E35" i="5" l="1"/>
  <c r="G5" i="5" l="1"/>
  <c r="H5" i="5" s="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H35" i="5"/>
  <c r="K38" i="3"/>
  <c r="I47" i="3"/>
  <c r="G50" i="3"/>
  <c r="E41" i="5" l="1"/>
  <c r="G41" i="5" s="1"/>
  <c r="I41" i="5" s="1"/>
  <c r="G89" i="5"/>
  <c r="E53" i="5" s="1"/>
  <c r="G53" i="5" s="1"/>
  <c r="I53" i="5" s="1"/>
  <c r="G88" i="5"/>
  <c r="E52" i="5" s="1"/>
  <c r="G52" i="5" s="1"/>
  <c r="I52" i="5" s="1"/>
  <c r="G87" i="5"/>
  <c r="E51" i="5" s="1"/>
  <c r="G51" i="5" s="1"/>
  <c r="I51" i="5" s="1"/>
  <c r="J47" i="3"/>
  <c r="J50" i="3" s="1"/>
  <c r="I50" i="3"/>
  <c r="G90" i="5" l="1"/>
  <c r="K47" i="3"/>
  <c r="K50" i="3" l="1"/>
  <c r="E54" i="5"/>
  <c r="I54" i="5" l="1"/>
  <c r="G54" i="5"/>
</calcChain>
</file>

<file path=xl/sharedStrings.xml><?xml version="1.0" encoding="utf-8"?>
<sst xmlns="http://schemas.openxmlformats.org/spreadsheetml/2006/main" count="729" uniqueCount="310">
  <si>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</si>
  <si>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</si>
  <si>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</si>
  <si>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</si>
  <si>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</si>
  <si>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</si>
  <si>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</si>
  <si>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</si>
  <si>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</si>
  <si>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</si>
  <si>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</si>
  <si>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</si>
  <si>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</si>
  <si>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</si>
  <si>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</si>
  <si>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</si>
  <si>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</si>
  <si>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</si>
  <si>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</si>
  <si>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</si>
  <si>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</si>
  <si>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</si>
  <si>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</si>
  <si>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</si>
  <si>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</si>
  <si>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</si>
  <si>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</si>
  <si>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</si>
  <si>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</si>
  <si>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</si>
  <si>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</si>
  <si>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</si>
  <si>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</si>
  <si>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</si>
  <si>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</si>
  <si>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</si>
  <si>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</si>
  <si>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</si>
  <si>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</si>
  <si>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</si>
  <si>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</si>
  <si>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</si>
  <si>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</si>
  <si>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</si>
  <si>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</si>
  <si>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</si>
  <si>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</si>
  <si>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</si>
  <si>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</si>
  <si>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</si>
  <si>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</si>
  <si>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</si>
  <si>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</si>
  <si>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</si>
  <si>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</si>
  <si>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</si>
  <si>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</si>
  <si>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</si>
  <si>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</si>
  <si>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</si>
  <si>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</si>
  <si>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</si>
  <si>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</si>
  <si>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</si>
  <si>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</si>
  <si>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</si>
  <si>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</si>
  <si>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</si>
  <si>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</si>
  <si>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</si>
  <si>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</si>
  <si>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</si>
  <si>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</si>
  <si>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</si>
  <si>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</si>
  <si>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</si>
  <si>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</si>
  <si>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</si>
  <si>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</si>
  <si>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</si>
  <si>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</si>
  <si>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</si>
  <si>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</si>
  <si>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</si>
  <si>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</si>
  <si>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</si>
  <si>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</si>
  <si>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</si>
  <si>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</si>
  <si>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</si>
  <si>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</si>
  <si>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</si>
  <si>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</si>
  <si>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</si>
  <si>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</si>
  <si>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</si>
  <si>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</si>
  <si>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</si>
  <si>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</si>
  <si>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</si>
  <si>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</si>
  <si>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</si>
  <si>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</si>
  <si>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</si>
  <si>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</si>
  <si>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</si>
  <si>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</si>
  <si>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</si>
  <si>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</si>
  <si>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</si>
  <si>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</si>
  <si>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</si>
  <si>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</si>
  <si>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</si>
  <si>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</si>
  <si>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</si>
  <si>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</si>
  <si>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</si>
  <si>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</si>
  <si>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</si>
  <si>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</si>
  <si>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</si>
  <si>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</si>
  <si>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</si>
  <si>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</si>
  <si>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</si>
  <si>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</si>
  <si>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</si>
  <si>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</si>
  <si>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</si>
  <si>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</si>
  <si>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</si>
  <si>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</si>
  <si>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</si>
  <si>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</si>
  <si>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</si>
  <si>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</si>
  <si>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</si>
  <si>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</si>
  <si>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</si>
  <si>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</si>
  <si>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</si>
  <si>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</si>
  <si>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</si>
  <si>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</si>
  <si>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</si>
  <si>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</si>
  <si>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</si>
  <si>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</si>
  <si>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</si>
  <si>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</si>
  <si>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</si>
  <si>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</si>
  <si>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</si>
  <si>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</si>
  <si>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</si>
  <si>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</si>
  <si>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เรทส่วนแบ่งเปอร์เซ็นต์ค่าคอมตาม Memo (พ.1) ลงวันที่ 9/12/2567</t>
  </si>
  <si>
    <t>(Sales)</t>
  </si>
  <si>
    <t>051-2-21873-6</t>
  </si>
  <si>
    <t>138-2-93890-8</t>
  </si>
  <si>
    <t>919-7-16744-9</t>
  </si>
  <si>
    <t>234-2-86145-3</t>
  </si>
  <si>
    <t>สั่งจ่าย</t>
  </si>
  <si>
    <t>ปีที่ 1</t>
  </si>
  <si>
    <t>ปีที่ 2</t>
  </si>
  <si>
    <t>ปีที่ 3</t>
  </si>
  <si>
    <t>ปีที่ 4</t>
  </si>
  <si>
    <t>ปีที่ 5</t>
  </si>
  <si>
    <t>ระยะเวลาสัญญา
(เดือน)</t>
  </si>
  <si>
    <t xml:space="preserve">บริษัท อู ยิ บีซิเนส  จำกัด </t>
  </si>
  <si>
    <t xml:space="preserve"> One Bangkok Company Limited (Branch 00002) </t>
  </si>
  <si>
    <t>โครงการ Le Bonheur Poshtel</t>
  </si>
  <si>
    <t>SKIVL-2410-0052</t>
  </si>
  <si>
    <t>SKSP-2411-0042</t>
  </si>
  <si>
    <t>SK</t>
  </si>
  <si>
    <t>บริษัท เดอะ คอนเนคชั่น เพลส จำกัด</t>
  </si>
  <si>
    <t>โครงการ Your Space</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</si>
  <si>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</si>
  <si>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</si>
  <si>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</si>
  <si>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</si>
  <si>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</si>
  <si>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</si>
  <si>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</si>
  <si>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</si>
  <si>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</si>
  <si>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</si>
  <si>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</si>
  <si>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โรงแรม ภัทรา ลักชัวรี่ สุวรรณภูมิ</t>
  </si>
  <si>
    <t xml:space="preserve"> บริษัท บานไม่รู้โรย สุวรรณภูมิ จำกัด (สำนักงานใหญ่) </t>
  </si>
  <si>
    <t>โครงการ The Ritz-Carlton Hotel @ One Bangkok)</t>
  </si>
  <si>
    <t>โครงการ Amaranth Suvarnabhumi Hote</t>
  </si>
  <si>
    <t>บริษัท ทีซีซี โฮเทล แอสเสท แมนเนจเม้นท์ จำกัด (สาขาที่ 00012)</t>
  </si>
  <si>
    <t>โครงการ The Okura Prestige Bangkok</t>
  </si>
  <si>
    <t>บริษัท ยุทธพร ดีเวลลอปเม้นท์ จำกัด</t>
  </si>
  <si>
    <t>บริษัท ตากสิน พร็อพเพอร์ตี้ส์ จำกัด (สำนักงานใหญ่)</t>
  </si>
  <si>
    <t>แบ่งจ่าย/งวด
(ตามปีสัญญา)</t>
  </si>
  <si>
    <t xml:space="preserve">บริษัท เซนเตอร์ พอยต์ ฮอสพิทอลิตี้ จำกัด (สาขาที่ 00001) </t>
  </si>
  <si>
    <t xml:space="preserve">โรงแรมเซ็นเตอร์ พอยต์ สีลม </t>
  </si>
  <si>
    <t xml:space="preserve">บริษัท หาญธีร์ ยูนิตี้ กรุ๊ป จำกัด </t>
  </si>
  <si>
    <t>โครงการ Le Siam Hotel Silom Bangkok</t>
  </si>
  <si>
    <t>บริษัท เลอ บอนเฮอร์ จำกัด (สำนักงานใหญ่)</t>
  </si>
  <si>
    <t>คุณญาณีกา ชลิตาจีรกิจ</t>
  </si>
  <si>
    <t>โครงการ ใบบุญเพลสฉลองกรุง 1,2</t>
  </si>
  <si>
    <t>บริษัท สมมิตรอพาร์ตเม้นทต์ จำกัด</t>
  </si>
  <si>
    <t>โครงการ สมมิตร อพาร์ตเม้นต์</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</si>
  <si>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</si>
  <si>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</si>
  <si>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</si>
  <si>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</si>
  <si>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</si>
  <si>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</si>
  <si>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</si>
  <si>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</si>
  <si>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</si>
  <si>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</si>
  <si>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</si>
  <si>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</si>
  <si>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</si>
  <si>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</si>
  <si>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</si>
  <si>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</si>
  <si>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</si>
  <si>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ONIVL-2411-0001</t>
  </si>
  <si>
    <t>ON</t>
  </si>
  <si>
    <t>SKIVL-2411-0052</t>
  </si>
  <si>
    <t>SKSP-2411-0043</t>
  </si>
  <si>
    <t>ONSP-2412-0044</t>
  </si>
  <si>
    <t>ค่าบริการต่อเดือน</t>
  </si>
  <si>
    <t>ค่าเชื่อม/ติดตั้งต่อเดือน</t>
  </si>
  <si>
    <t>หมายเหตุ</t>
  </si>
  <si>
    <t>โครงการ Journeyhub Bangkok Sukhumvit 26</t>
  </si>
  <si>
    <t>Cable HLS to UDP</t>
  </si>
  <si>
    <t>Cable HLS to RF</t>
  </si>
  <si>
    <t>โครงการ Riva Vibe Hotel (Lyf Hotel)</t>
  </si>
  <si>
    <t>โครงการ ลูเมน แบงคอก ศรีนครินทร์ (อาคารยงยุทธฯ)</t>
  </si>
  <si>
    <t>บริษัท บูทิค แบงค็อก สุขุมวิท 26-1 จำกัด (สำนักงานใหญ่)</t>
  </si>
  <si>
    <t xml:space="preserve">บริษัท แวคเฮ้าส์ จำกัด </t>
  </si>
  <si>
    <t xml:space="preserve"> โรงแรม เวลา บี กรุงเทพฯ ราชเทวี</t>
  </si>
  <si>
    <t>โรงแรมพาราไดซ์ บีช รีสอร์ต สมุย</t>
  </si>
  <si>
    <t>โรงแรม เดอะ สแตนดาร์ด พัทยา นาจอมเทียน</t>
  </si>
  <si>
    <t>โรงพยาบาลพญาไท 2</t>
  </si>
  <si>
    <t>บริษัท สตาร์โฮเต็ล จำกัด</t>
  </si>
  <si>
    <t>โรงแรม ฦทธิ์ กรุงเทพ (LiT BANGKOK Hotel)</t>
  </si>
  <si>
    <t>% ค่าคอมค่าบริการ
(อัตราก้าวหน้า)</t>
  </si>
  <si>
    <t>ยังไม่ได้ตั้งเบิก</t>
  </si>
  <si>
    <t>N</t>
  </si>
  <si>
    <t>การจ่ายค่าบริการ</t>
  </si>
  <si>
    <t>ตั้งเบิกค่าคอมแล้ว</t>
  </si>
  <si>
    <t>รอบ 1/2025</t>
  </si>
  <si>
    <t xml:space="preserve">บริษัท เทพเทวี เพลช จำกัด (สำนักงานใหญ่) </t>
  </si>
  <si>
    <t>ทำจ่ายรอบ 2/2025</t>
  </si>
  <si>
    <t>โครงการ อาคารคุณแอน/ อาคารขายเหมาสะพานควาย</t>
  </si>
  <si>
    <t>บริษัท วิวัฒน์พรอพเพอร์ตี จำกัด</t>
  </si>
  <si>
    <t>โครงการ The Plimplace Hotel</t>
  </si>
  <si>
    <t>รอบ 12/2024</t>
  </si>
  <si>
    <t>LKSP-2412-0056</t>
  </si>
  <si>
    <t>LK</t>
  </si>
  <si>
    <t>สำหรับโครงการที่ปิดการขาย เดือน ตุลาคม - ธันวาคม 2567</t>
  </si>
  <si>
    <t>อาจารย์ทรรศพร</t>
  </si>
  <si>
    <t>โครงการ  ห้องเช่าอาจารย์ทรรศพร</t>
  </si>
  <si>
    <t>WDSP-2411-0310</t>
  </si>
  <si>
    <t>NCSP-2411-0164</t>
  </si>
  <si>
    <t>NC</t>
  </si>
  <si>
    <t>คุณธัญธร ศิริวรรณวัฒนา</t>
  </si>
  <si>
    <t>โครงการ อาคารรามเฮาท์</t>
  </si>
  <si>
    <t>LKIVL-2412-0028</t>
  </si>
  <si>
    <t>NCIVL-2411-0511</t>
  </si>
  <si>
    <t>WDIVL-2411-0336</t>
  </si>
  <si>
    <t>รอบ 11/2024</t>
  </si>
  <si>
    <t>รอบ 11/2025</t>
  </si>
  <si>
    <t>Aman Nai Lert Bangkok</t>
  </si>
  <si>
    <t>Kora Beach Resort Phuket</t>
  </si>
  <si>
    <t>โรงแรมปาแชง</t>
  </si>
  <si>
    <t>โรงแรมคิงปาร์ค อเวนิ</t>
  </si>
  <si>
    <t>บริษัท ปิยะสมบัติแมนชั่น จำกัด</t>
  </si>
  <si>
    <t>โรงแรม โนโวเทล กรุงเทพ สุขุมวิท 20</t>
  </si>
  <si>
    <t>บริษัท แมนดารินโฮเต็ล จำกัด (มหาชน)</t>
  </si>
  <si>
    <t>โรงแรมแมนดาริน กรุงเทพ</t>
  </si>
  <si>
    <t>ค่าเชื่อมสัญญาณ/ติดตั้ง/ขายอุปกรณ์</t>
  </si>
  <si>
    <t>(กรณีมีต้นทุน)</t>
  </si>
  <si>
    <t>(กรณีไม่มีต้นทุน)</t>
  </si>
  <si>
    <r>
      <t xml:space="preserve">รวมค่าคอมฯ
</t>
    </r>
    <r>
      <rPr>
        <b/>
        <sz val="14"/>
        <color theme="0"/>
        <rFont val="Tahoma"/>
        <family val="2"/>
      </rPr>
      <t>(1)+(2)+(3)</t>
    </r>
  </si>
  <si>
    <t>รอทำจ่าย 11/2025</t>
  </si>
  <si>
    <t>OS</t>
  </si>
  <si>
    <t>Sales Engineer (SE)</t>
  </si>
  <si>
    <t>Operation Sales (OS)</t>
  </si>
  <si>
    <t>จัดสรรส่วนแบ่งภายในต่อ</t>
  </si>
  <si>
    <t>(คุณวันวิสาข์ ประทุมเมือง)</t>
  </si>
  <si>
    <t>Assistant Sales Manager</t>
  </si>
  <si>
    <t>Deputy Managing Director of Marketing</t>
  </si>
  <si>
    <t>ลงชื่อ</t>
  </si>
  <si>
    <t>ผู้อนุมัติ 1</t>
  </si>
  <si>
    <t>(คุณจินตนา อ้ยหวาน)</t>
  </si>
  <si>
    <t>ผู้อนุมัติ 2</t>
  </si>
  <si>
    <t xml:space="preserve">ลงชื่อ </t>
  </si>
  <si>
    <t>สรุปรายการเบิกค่าคอมมิชชั่น สำหรับโครงการที่ปิดการขาย เดือน ตุลาคม - ธันวาคม 2567</t>
  </si>
  <si>
    <t>3 มูลค่าดังกล่าว ยังไม่ได้หักส่วนแบ่ง Center Sales 5%, Sales Engineer 10%, Operation Sales 10%</t>
  </si>
  <si>
    <t>2 มูลค่าดังกล่าว ยังไม่ได้หัก กสทช. 4% (กรณีค่าบริการ)</t>
  </si>
  <si>
    <t>1 มูลค่าดังกล่าวเป็นการคำนวณเบื้องต้นที่ยังไม่หัก 3% (กรณีมีหัก 3%) เนื่องจากยังไม่มีข้อมูลการรับชำระเงินครบถ้วน</t>
  </si>
  <si>
    <t>สั่งจ่ายปีที่1</t>
  </si>
  <si>
    <t>สั่งจ่ายปีที่2</t>
  </si>
  <si>
    <t>สั่งจ่ายปีที่3</t>
  </si>
  <si>
    <t>สั่งจ่ายปีที่4</t>
  </si>
  <si>
    <t>สั่งจ่ายปีที่5</t>
  </si>
  <si>
    <t>รายงานสรุปค่าคอมมิชชั่นเคเบิลทีวี (เงื่อนไขใหม่ ไตรมาส 4 ประจำปี 2567)</t>
  </si>
  <si>
    <t>ต้นทุนช่องรายการ
(ถ้ามี)</t>
  </si>
  <si>
    <t>4 ในไตรมาส 4 มูลค่าสัญญารวม 322,769.34 บาท เข้าเงื่อนไขเบิกค่าคอมรายไตรมาส บริษัทฯสั่งจ่ายเพิ่มอีก 2% โดยมูลค่าที่แสดงดังกล่าวยังไม่รวมการสั่งจ่ายเพิ่ม 2%</t>
  </si>
  <si>
    <r>
      <rPr>
        <b/>
        <u val="singleAccounting"/>
        <sz val="16"/>
        <rFont val="Tahoma"/>
        <family val="2"/>
      </rPr>
      <t>หมายเหตุ:</t>
    </r>
    <r>
      <rPr>
        <b/>
        <sz val="16"/>
        <rFont val="Tahoma"/>
        <family val="2"/>
      </rPr>
      <t xml:space="preserve"> </t>
    </r>
    <r>
      <rPr>
        <sz val="16"/>
        <rFont val="Tahoma"/>
        <family val="2"/>
      </rPr>
      <t>ค่าบริการจ่ายตามรอบของสัญญา ค่าเชื่อมสัญญาณ/ค่าติดตั้ง/ค่าอุปกรณ์ จ่ายงวดแรกครั้งเดียว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</si>
</sst>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9">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4"/>
      <color rgb="FFE93F11"/>
      <name val="Tahoma"/>
      <family val="2"/>
    </font>
    <font>
      <b/>
      <sz val="14"/>
      <color rgb="FFE93F11"/>
      <name val="Tahoma"/>
      <family val="2"/>
    </font>
    <font>
      <sz val="18"/>
      <color indexed="8"/>
      <name val="Tahoma"/>
      <family val="2"/>
    </font>
    <font>
      <b/>
      <sz val="18"/>
      <name val="Tahoma"/>
      <family val="2"/>
    </font>
    <font>
      <b/>
      <sz val="18"/>
      <color theme="0"/>
      <name val="Tahoma"/>
      <family val="2"/>
    </font>
    <font>
      <sz val="14"/>
      <color rgb="FFED0000"/>
      <name val="Tahoma"/>
      <family val="2"/>
    </font>
    <font>
      <b/>
      <sz val="18"/>
      <color indexed="63"/>
      <name val="Tahoma"/>
      <family val="2"/>
    </font>
    <font>
      <b/>
      <u val="singleAccounting"/>
      <sz val="16"/>
      <name val="Tahoma"/>
      <family val="2"/>
    </font>
    <font>
      <b/>
      <sz val="12"/>
      <name val="Times New Roman"/>
      <family val="1"/>
    </font>
    <font>
      <b/>
      <sz val="12"/>
      <color indexed="40"/>
      <name val="Times New Roman"/>
      <family val="1"/>
    </font>
    <font>
      <b/>
      <sz val="16"/>
      <name val="TH SarabunPSK"/>
      <family val="2"/>
    </font>
    <font>
      <b/>
      <sz val="15"/>
      <color theme="1"/>
      <name val="Tahoma"/>
      <family val="2"/>
    </font>
    <font>
      <b/>
      <sz val="20"/>
      <color theme="0"/>
      <name val="Tahoma"/>
      <family val="2"/>
    </font>
    <font>
      <sz val="18"/>
      <color theme="2" tint="-0.499984740745262"/>
      <name val="Arial"/>
      <family val="2"/>
    </font>
    <font>
      <sz val="16"/>
      <name val="Tahoma"/>
      <family val="2"/>
    </font>
    <font>
      <b/>
      <sz val="20"/>
      <name val="Tahoma"/>
      <family val="2"/>
    </font>
    <font>
      <sz val="20"/>
      <name val="Arial"/>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theme="2"/>
        <bgColor rgb="FFBDD6EE"/>
      </patternFill>
    </fill>
    <fill>
      <patternFill patternType="solid">
        <fgColor rgb="FFC5D3FF"/>
        <bgColor indexed="64"/>
      </patternFill>
    </fill>
    <fill>
      <patternFill patternType="solid">
        <fgColor rgb="FFC5D3FF"/>
        <bgColor rgb="FFBDD6EE"/>
      </patternFill>
    </fill>
    <fill>
      <patternFill patternType="solid">
        <fgColor theme="4"/>
        <bgColor indexed="64"/>
      </patternFill>
    </fill>
  </fills>
  <borders count="130">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medium">
        <color indexed="64"/>
      </left>
      <right style="hair">
        <color indexed="64"/>
      </right>
      <top style="dotted">
        <color theme="8" tint="0.39997558519241921"/>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dotted">
        <color theme="8" tint="0.39997558519241921"/>
      </bottom>
      <diagonal/>
    </border>
    <border>
      <left style="medium">
        <color indexed="64"/>
      </left>
      <right style="thin">
        <color indexed="64"/>
      </right>
      <top/>
      <bottom style="dotted">
        <color theme="8" tint="0.39997558519241921"/>
      </bottom>
      <diagonal/>
    </border>
    <border>
      <left style="thin">
        <color indexed="64"/>
      </left>
      <right style="thin">
        <color indexed="64"/>
      </right>
      <top/>
      <bottom style="dotted">
        <color theme="8" tint="0.39997558519241921"/>
      </bottom>
      <diagonal/>
    </border>
    <border>
      <left/>
      <right style="thin">
        <color indexed="64"/>
      </right>
      <top/>
      <bottom style="dotted">
        <color theme="8" tint="0.39997558519241921"/>
      </bottom>
      <diagonal/>
    </border>
    <border>
      <left style="thin">
        <color indexed="64"/>
      </left>
      <right style="medium">
        <color indexed="64"/>
      </right>
      <top/>
      <bottom style="dotted">
        <color theme="8" tint="0.39997558519241921"/>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hair">
        <color indexed="64"/>
      </right>
      <top/>
      <bottom style="dotted">
        <color theme="8" tint="0.39997558519241921"/>
      </bottom>
      <diagonal/>
    </border>
    <border>
      <left style="hair">
        <color indexed="64"/>
      </left>
      <right style="hair">
        <color indexed="64"/>
      </right>
      <top/>
      <bottom style="dotted">
        <color theme="8" tint="0.39997558519241921"/>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theme="5"/>
      </top>
      <bottom style="dotted">
        <color theme="8" tint="0.39997558519241921"/>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39">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49"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0"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0" borderId="4" xfId="10" applyFont="1" applyBorder="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1"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2"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30" fillId="0" borderId="4" xfId="10" applyFont="1" applyFill="1" applyBorder="1" applyAlignment="1">
      <alignment vertical="top" wrapText="1"/>
    </xf>
    <xf numFmtId="0" fontId="30" fillId="0" borderId="4" xfId="10" applyFont="1" applyFill="1" applyBorder="1" applyAlignment="1">
      <alignment wrapText="1"/>
    </xf>
    <xf numFmtId="0" fontId="30" fillId="0" borderId="4" xfId="10" applyFont="1" applyFill="1" applyBorder="1" applyAlignment="1">
      <alignment horizontal="right"/>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5"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6" fillId="0" borderId="46" xfId="10" applyNumberFormat="1" applyFont="1" applyBorder="1" applyAlignment="1"/>
    <xf numFmtId="49" fontId="57" fillId="0" borderId="46" xfId="10" applyNumberFormat="1" applyFont="1" applyBorder="1" applyAlignment="1"/>
    <xf numFmtId="0" fontId="56" fillId="0" borderId="46" xfId="10" applyFont="1" applyBorder="1" applyAlignment="1"/>
    <xf numFmtId="164" fontId="57"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164" fontId="22" fillId="29" borderId="0" xfId="10" applyNumberFormat="1" applyFont="1" applyFill="1" applyAlignment="1"/>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43" fontId="28" fillId="11" borderId="0" xfId="11" applyFont="1" applyFill="1" applyAlignment="1"/>
    <xf numFmtId="0" fontId="28" fillId="11" borderId="0" xfId="10" applyFont="1" applyFill="1" applyAlignment="1"/>
    <xf numFmtId="0" fontId="13" fillId="11" borderId="0" xfId="12" applyFont="1" applyFill="1"/>
    <xf numFmtId="0" fontId="4" fillId="11" borderId="0" xfId="12" applyFont="1" applyFill="1" applyAlignment="1">
      <alignment vertical="center"/>
    </xf>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43" fontId="13" fillId="11" borderId="0" xfId="12" applyNumberFormat="1" applyFont="1" applyFill="1"/>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59" fillId="34" borderId="46" xfId="0" applyFont="1" applyFill="1" applyBorder="1" applyAlignment="1">
      <alignment vertical="top"/>
    </xf>
    <xf numFmtId="0" fontId="59" fillId="34" borderId="46" xfId="0" applyFont="1" applyFill="1" applyBorder="1" applyAlignment="1">
      <alignment vertical="center"/>
    </xf>
    <xf numFmtId="43" fontId="53" fillId="31" borderId="73" xfId="1" applyFont="1" applyFill="1" applyBorder="1" applyAlignment="1" applyProtection="1">
      <alignment vertical="center" shrinkToFit="1"/>
      <protection locked="0"/>
    </xf>
    <xf numFmtId="43" fontId="53" fillId="31" borderId="75" xfId="1" applyFont="1" applyFill="1" applyBorder="1" applyAlignment="1" applyProtection="1">
      <alignment vertical="center" shrinkToFit="1"/>
      <protection locked="0"/>
    </xf>
    <xf numFmtId="43" fontId="53" fillId="31" borderId="60" xfId="1" applyFont="1" applyFill="1" applyBorder="1" applyAlignment="1" applyProtection="1">
      <alignment horizontal="left" vertical="center" shrinkToFit="1"/>
      <protection locked="0"/>
    </xf>
    <xf numFmtId="43" fontId="6" fillId="31" borderId="71" xfId="1" applyFont="1" applyFill="1" applyBorder="1" applyAlignment="1" applyProtection="1">
      <alignment horizontal="center"/>
      <protection locked="0"/>
    </xf>
    <xf numFmtId="43" fontId="53" fillId="0" borderId="64" xfId="1" applyFont="1" applyFill="1" applyBorder="1" applyAlignment="1" applyProtection="1">
      <alignment vertical="center" shrinkToFit="1"/>
      <protection locked="0"/>
    </xf>
    <xf numFmtId="43" fontId="53" fillId="0" borderId="64" xfId="1" applyFont="1" applyFill="1" applyBorder="1" applyAlignment="1" applyProtection="1">
      <alignment vertical="center"/>
      <protection locked="0"/>
    </xf>
    <xf numFmtId="43" fontId="53" fillId="0" borderId="78" xfId="1" applyFont="1" applyFill="1" applyBorder="1" applyAlignment="1" applyProtection="1">
      <alignment horizontal="left" vertical="center" shrinkToFit="1"/>
      <protection locked="0"/>
    </xf>
    <xf numFmtId="1" fontId="61" fillId="0" borderId="66" xfId="1" applyNumberFormat="1" applyFont="1" applyFill="1" applyBorder="1" applyAlignment="1" applyProtection="1">
      <alignment horizontal="left" vertical="center" shrinkToFit="1"/>
      <protection locked="0"/>
    </xf>
    <xf numFmtId="1" fontId="61" fillId="0" borderId="4" xfId="1" applyNumberFormat="1" applyFont="1" applyFill="1" applyBorder="1" applyAlignment="1" applyProtection="1">
      <alignment horizontal="center" vertical="center" shrinkToFit="1"/>
      <protection locked="0"/>
    </xf>
    <xf numFmtId="43" fontId="61" fillId="0" borderId="65" xfId="1" applyFont="1" applyFill="1" applyBorder="1" applyAlignment="1">
      <alignment horizontal="center"/>
    </xf>
    <xf numFmtId="43" fontId="61" fillId="0" borderId="3" xfId="1" applyFont="1" applyFill="1" applyBorder="1" applyAlignment="1" applyProtection="1">
      <alignment horizontal="center" vertical="center" shrinkToFit="1"/>
      <protection locked="0"/>
    </xf>
    <xf numFmtId="43" fontId="61" fillId="0" borderId="0" xfId="1" applyFont="1" applyAlignment="1" applyProtection="1">
      <alignment horizontal="center"/>
      <protection locked="0"/>
    </xf>
    <xf numFmtId="43" fontId="61" fillId="0" borderId="66" xfId="1" applyFont="1" applyFill="1" applyBorder="1" applyAlignment="1">
      <alignment horizontal="center"/>
    </xf>
    <xf numFmtId="43" fontId="61" fillId="0" borderId="4" xfId="1" applyFont="1" applyFill="1" applyBorder="1" applyAlignment="1" applyProtection="1">
      <alignment horizontal="center" vertical="center" shrinkToFit="1"/>
      <protection locked="0"/>
    </xf>
    <xf numFmtId="43" fontId="60" fillId="0" borderId="0" xfId="1" applyFont="1" applyProtection="1">
      <protection locked="0"/>
    </xf>
    <xf numFmtId="41" fontId="13" fillId="5" borderId="4"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8" fillId="11" borderId="0" xfId="1" applyNumberFormat="1" applyFont="1" applyFill="1" applyAlignment="1" applyProtection="1">
      <alignment horizontal="center"/>
      <protection locked="0"/>
    </xf>
    <xf numFmtId="0" fontId="27" fillId="0" borderId="22" xfId="10" applyFont="1" applyBorder="1" applyAlignment="1">
      <alignment horizontal="center"/>
    </xf>
    <xf numFmtId="0" fontId="30" fillId="0" borderId="24" xfId="10" applyFont="1" applyBorder="1" applyAlignment="1">
      <alignment wrapText="1"/>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0" fillId="0" borderId="80" xfId="11" applyFont="1" applyBorder="1" applyAlignment="1"/>
    <xf numFmtId="43" fontId="31" fillId="8" borderId="80" xfId="11" applyFont="1" applyFill="1" applyBorder="1" applyAlignment="1"/>
    <xf numFmtId="43" fontId="30" fillId="5" borderId="83" xfId="11" applyFont="1" applyFill="1" applyBorder="1" applyAlignment="1"/>
    <xf numFmtId="0" fontId="27" fillId="0" borderId="26" xfId="10" applyFont="1" applyBorder="1" applyAlignment="1">
      <alignment horizontal="center"/>
    </xf>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2" fillId="26" borderId="59" xfId="10" applyFont="1" applyFill="1" applyBorder="1" applyAlignment="1">
      <alignment horizontal="center" vertical="center"/>
    </xf>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41" fontId="13" fillId="5" borderId="24" xfId="10" applyNumberFormat="1" applyFont="1" applyFill="1" applyBorder="1" applyAlignment="1">
      <alignment horizontal="center" vertical="top" wrapText="1"/>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0" fillId="0" borderId="24" xfId="10" applyFont="1" applyFill="1" applyBorder="1" applyAlignment="1">
      <alignment vertical="top" wrapText="1"/>
    </xf>
    <xf numFmtId="0" fontId="13" fillId="5" borderId="24" xfId="10" applyFont="1" applyFill="1" applyBorder="1" applyAlignment="1">
      <alignment horizontal="center" vertical="top" wrapText="1"/>
    </xf>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8" fillId="27" borderId="96" xfId="12" applyFont="1" applyFill="1" applyBorder="1" applyAlignment="1">
      <alignment horizontal="center" vertical="center"/>
    </xf>
    <xf numFmtId="0" fontId="8" fillId="27" borderId="85" xfId="12" applyFont="1" applyFill="1" applyBorder="1" applyAlignment="1">
      <alignment horizontal="center" vertical="center"/>
    </xf>
    <xf numFmtId="43" fontId="8" fillId="27" borderId="85" xfId="11" applyFont="1" applyFill="1" applyBorder="1" applyAlignment="1">
      <alignment horizontal="center" vertical="center"/>
    </xf>
    <xf numFmtId="0" fontId="8" fillId="27" borderId="86" xfId="12" applyFont="1" applyFill="1" applyBorder="1" applyAlignment="1">
      <alignment horizontal="center" vertical="center"/>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8"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99" xfId="12" applyFont="1" applyBorder="1" applyAlignment="1">
      <alignment horizontal="left"/>
    </xf>
    <xf numFmtId="0" fontId="13" fillId="0" borderId="84" xfId="12" applyFont="1" applyBorder="1" applyAlignment="1">
      <alignment horizontal="center"/>
    </xf>
    <xf numFmtId="0" fontId="30" fillId="0" borderId="100" xfId="12" applyFont="1" applyBorder="1" applyAlignment="1">
      <alignment horizontal="left"/>
    </xf>
    <xf numFmtId="9" fontId="30" fillId="0" borderId="51" xfId="9" applyFont="1" applyBorder="1" applyAlignment="1">
      <alignment horizontal="center"/>
    </xf>
    <xf numFmtId="43" fontId="13" fillId="0" borderId="51" xfId="9" applyNumberFormat="1" applyFont="1" applyBorder="1" applyAlignment="1">
      <alignment horizontal="center"/>
    </xf>
    <xf numFmtId="43" fontId="13" fillId="0" borderId="51" xfId="11" applyFont="1" applyFill="1" applyBorder="1" applyAlignment="1"/>
    <xf numFmtId="43" fontId="13" fillId="0" borderId="51" xfId="12" applyNumberFormat="1" applyFont="1" applyBorder="1" applyAlignment="1">
      <alignment horizontal="center"/>
    </xf>
    <xf numFmtId="43" fontId="13" fillId="18" borderId="51" xfId="1" applyFont="1" applyFill="1" applyBorder="1" applyAlignment="1"/>
    <xf numFmtId="0" fontId="13" fillId="0" borderId="51" xfId="12" applyFont="1" applyBorder="1" applyAlignment="1">
      <alignment horizontal="center"/>
    </xf>
    <xf numFmtId="0" fontId="13" fillId="0" borderId="101" xfId="12" applyFont="1" applyBorder="1" applyAlignment="1">
      <alignment horizontal="center"/>
    </xf>
    <xf numFmtId="43" fontId="22" fillId="10" borderId="33" xfId="11" applyFont="1" applyFill="1" applyBorder="1" applyAlignment="1"/>
    <xf numFmtId="43" fontId="22" fillId="10" borderId="33" xfId="12" applyNumberFormat="1" applyFont="1" applyFill="1" applyBorder="1"/>
    <xf numFmtId="0" fontId="22" fillId="31" borderId="102" xfId="12" applyFont="1" applyFill="1" applyBorder="1" applyAlignment="1">
      <alignment horizontal="center"/>
    </xf>
    <xf numFmtId="9" fontId="22" fillId="31" borderId="79" xfId="9" applyFont="1" applyFill="1" applyBorder="1" applyAlignment="1">
      <alignment horizontal="center"/>
    </xf>
    <xf numFmtId="0" fontId="38" fillId="31" borderId="79" xfId="12" applyFont="1" applyFill="1" applyBorder="1"/>
    <xf numFmtId="43" fontId="22" fillId="31" borderId="79" xfId="9" applyNumberFormat="1" applyFont="1" applyFill="1" applyBorder="1" applyAlignment="1">
      <alignment horizontal="center"/>
    </xf>
    <xf numFmtId="43" fontId="22" fillId="31" borderId="103" xfId="11" applyFont="1" applyFill="1" applyBorder="1" applyAlignment="1"/>
    <xf numFmtId="0" fontId="22" fillId="31" borderId="33" xfId="12" applyFont="1" applyFill="1" applyBorder="1"/>
    <xf numFmtId="0" fontId="22" fillId="31" borderId="33" xfId="12" applyFont="1" applyFill="1" applyBorder="1" applyAlignment="1">
      <alignment horizontal="center"/>
    </xf>
    <xf numFmtId="0" fontId="22" fillId="31" borderId="104" xfId="12" applyFont="1" applyFill="1" applyBorder="1" applyAlignment="1">
      <alignment horizontal="center"/>
    </xf>
    <xf numFmtId="43" fontId="22" fillId="11" borderId="105"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43" fontId="30" fillId="11" borderId="46" xfId="11" applyFont="1" applyFill="1" applyBorder="1" applyAlignment="1"/>
    <xf numFmtId="43" fontId="30" fillId="11" borderId="84" xfId="11" applyFont="1" applyFill="1" applyBorder="1" applyAlignment="1"/>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7" fillId="31" borderId="106" xfId="12" applyFont="1" applyFill="1" applyBorder="1"/>
    <xf numFmtId="0" fontId="37" fillId="31" borderId="107" xfId="12" applyFont="1" applyFill="1" applyBorder="1"/>
    <xf numFmtId="0" fontId="37" fillId="31" borderId="108"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3" fillId="11" borderId="0" xfId="3" applyFont="1" applyFill="1" applyBorder="1" applyAlignment="1" applyProtection="1">
      <alignment horizontal="centerContinuous"/>
      <protection locked="0"/>
    </xf>
    <xf numFmtId="43" fontId="63" fillId="11" borderId="0" xfId="1" applyFont="1" applyFill="1" applyBorder="1" applyAlignment="1" applyProtection="1">
      <alignment horizontal="centerContinuous"/>
      <protection locked="0"/>
    </xf>
    <xf numFmtId="0" fontId="63" fillId="11" borderId="0" xfId="1" applyNumberFormat="1" applyFont="1" applyFill="1" applyBorder="1" applyAlignment="1" applyProtection="1">
      <alignment horizontal="center"/>
      <protection locked="0"/>
    </xf>
    <xf numFmtId="0" fontId="65" fillId="0" borderId="0" xfId="0" applyFont="1" applyProtection="1">
      <protection locked="0"/>
    </xf>
    <xf numFmtId="0" fontId="66" fillId="11" borderId="0" xfId="4" applyFont="1" applyFill="1" applyAlignment="1" applyProtection="1">
      <alignment horizontal="centerContinuous" vertical="center"/>
      <protection locked="0"/>
    </xf>
    <xf numFmtId="0" fontId="66" fillId="11" borderId="0" xfId="4" applyNumberFormat="1" applyFont="1" applyFill="1" applyAlignment="1" applyProtection="1">
      <alignment horizontal="centerContinuous" vertical="center"/>
      <protection locked="0"/>
    </xf>
    <xf numFmtId="1" fontId="66" fillId="11" borderId="0" xfId="1" applyNumberFormat="1" applyFont="1" applyFill="1" applyAlignment="1" applyProtection="1">
      <alignment horizontal="centerContinuous" vertical="center"/>
      <protection locked="0"/>
    </xf>
    <xf numFmtId="0" fontId="66" fillId="11" borderId="0" xfId="1" applyNumberFormat="1" applyFont="1" applyFill="1" applyAlignment="1" applyProtection="1">
      <alignment horizontal="centerContinuous" vertical="center"/>
      <protection locked="0"/>
    </xf>
    <xf numFmtId="43" fontId="66" fillId="11" borderId="0" xfId="1" applyFont="1" applyFill="1" applyAlignment="1" applyProtection="1">
      <alignment horizontal="centerContinuous" vertical="center"/>
      <protection locked="0"/>
    </xf>
    <xf numFmtId="1" fontId="64" fillId="11" borderId="0" xfId="1" applyNumberFormat="1" applyFont="1" applyFill="1" applyAlignment="1" applyProtection="1">
      <alignment horizontal="centerContinuous" vertical="center"/>
      <protection locked="0"/>
    </xf>
    <xf numFmtId="0" fontId="66" fillId="11" borderId="0" xfId="1" applyNumberFormat="1" applyFont="1" applyFill="1" applyAlignment="1" applyProtection="1">
      <alignment horizontal="center" vertical="center"/>
      <protection locked="0"/>
    </xf>
    <xf numFmtId="0" fontId="66" fillId="11" borderId="0" xfId="0" applyFont="1" applyFill="1" applyProtection="1">
      <protection locked="0"/>
    </xf>
    <xf numFmtId="0" fontId="66" fillId="11" borderId="0" xfId="0" applyFont="1" applyFill="1" applyAlignment="1" applyProtection="1">
      <alignment horizontal="center"/>
      <protection locked="0"/>
    </xf>
    <xf numFmtId="1" fontId="66" fillId="11" borderId="0" xfId="1" applyNumberFormat="1" applyFont="1" applyFill="1" applyAlignment="1" applyProtection="1">
      <alignment horizontal="center"/>
      <protection locked="0"/>
    </xf>
    <xf numFmtId="0" fontId="66" fillId="11" borderId="0" xfId="1" applyNumberFormat="1" applyFont="1" applyFill="1" applyAlignment="1" applyProtection="1">
      <alignment horizontal="center"/>
      <protection locked="0"/>
    </xf>
    <xf numFmtId="43" fontId="66" fillId="11" borderId="0" xfId="1" applyFont="1" applyFill="1" applyAlignment="1" applyProtection="1">
      <alignment horizontal="center"/>
      <protection locked="0"/>
    </xf>
    <xf numFmtId="1" fontId="64" fillId="11" borderId="0" xfId="1" applyNumberFormat="1" applyFont="1" applyFill="1" applyAlignment="1" applyProtection="1">
      <alignment horizontal="center"/>
      <protection locked="0"/>
    </xf>
    <xf numFmtId="4" fontId="66" fillId="0" borderId="0" xfId="1" applyNumberFormat="1" applyFont="1" applyProtection="1">
      <protection locked="0"/>
    </xf>
    <xf numFmtId="4" fontId="65" fillId="0" borderId="0" xfId="1" applyNumberFormat="1" applyFont="1" applyAlignment="1" applyProtection="1">
      <alignment horizontal="center"/>
      <protection locked="0"/>
    </xf>
    <xf numFmtId="0" fontId="66" fillId="11" borderId="0" xfId="0" applyFont="1" applyFill="1" applyAlignment="1" applyProtection="1">
      <alignment horizontal="left"/>
      <protection locked="0"/>
    </xf>
    <xf numFmtId="43" fontId="65" fillId="11" borderId="0" xfId="1" applyFont="1" applyFill="1" applyAlignment="1" applyProtection="1">
      <alignment horizontal="center"/>
      <protection locked="0"/>
    </xf>
    <xf numFmtId="9" fontId="65" fillId="11" borderId="0" xfId="1" applyNumberFormat="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43" fontId="68" fillId="33" borderId="80" xfId="1" applyFont="1" applyFill="1" applyBorder="1" applyAlignment="1" applyProtection="1">
      <alignment horizontal="center" vertical="top" wrapText="1"/>
      <protection locked="0"/>
    </xf>
    <xf numFmtId="0" fontId="69" fillId="4" borderId="4" xfId="8" applyFont="1" applyBorder="1" applyAlignment="1" applyProtection="1">
      <alignment horizontal="center" vertical="center" wrapText="1"/>
      <protection locked="0"/>
    </xf>
    <xf numFmtId="0" fontId="72" fillId="21" borderId="21" xfId="0" applyFont="1" applyFill="1" applyBorder="1" applyAlignment="1">
      <alignment horizontal="center" vertical="center" wrapText="1"/>
    </xf>
    <xf numFmtId="0" fontId="65" fillId="0" borderId="0" xfId="0" applyFont="1" applyAlignment="1" applyProtection="1">
      <alignment horizontal="center" vertical="center" wrapText="1"/>
      <protection locked="0"/>
    </xf>
    <xf numFmtId="43" fontId="70" fillId="32" borderId="63" xfId="1" applyFont="1" applyFill="1" applyBorder="1" applyAlignment="1" applyProtection="1">
      <alignment horizontal="center" vertical="center" shrinkToFit="1"/>
      <protection locked="0"/>
    </xf>
    <xf numFmtId="43" fontId="71" fillId="31" borderId="63" xfId="1" applyFont="1" applyFill="1" applyBorder="1" applyAlignment="1" applyProtection="1">
      <alignment vertical="center" shrinkToFit="1"/>
      <protection locked="0"/>
    </xf>
    <xf numFmtId="43" fontId="66" fillId="23" borderId="62" xfId="1" applyFont="1" applyFill="1" applyBorder="1" applyProtection="1">
      <protection hidden="1"/>
    </xf>
    <xf numFmtId="0" fontId="65" fillId="0" borderId="63" xfId="0" applyFont="1" applyBorder="1" applyAlignment="1" applyProtection="1">
      <alignment horizontal="center"/>
      <protection locked="0"/>
    </xf>
    <xf numFmtId="4" fontId="70" fillId="0" borderId="63" xfId="7" applyNumberFormat="1" applyFont="1" applyFill="1" applyBorder="1" applyAlignment="1" applyProtection="1">
      <alignment horizontal="center"/>
      <protection hidden="1"/>
    </xf>
    <xf numFmtId="0" fontId="74" fillId="0" borderId="65" xfId="6" applyFont="1" applyFill="1" applyBorder="1" applyAlignment="1" applyProtection="1">
      <alignment horizontal="center" vertical="center"/>
      <protection locked="0"/>
    </xf>
    <xf numFmtId="0" fontId="74" fillId="0" borderId="66" xfId="6" applyFont="1" applyFill="1" applyBorder="1" applyAlignment="1" applyProtection="1">
      <alignment horizontal="center" vertical="center"/>
      <protection locked="0"/>
    </xf>
    <xf numFmtId="43" fontId="70" fillId="0" borderId="66" xfId="1" applyFont="1" applyFill="1" applyBorder="1" applyAlignment="1" applyProtection="1">
      <alignment horizontal="center" vertical="center" shrinkToFit="1"/>
      <protection locked="0"/>
    </xf>
    <xf numFmtId="0" fontId="70" fillId="0" borderId="66" xfId="1" applyNumberFormat="1" applyFont="1" applyFill="1" applyBorder="1" applyAlignment="1" applyProtection="1">
      <alignment horizontal="center" vertical="center" shrinkToFit="1"/>
      <protection locked="0"/>
    </xf>
    <xf numFmtId="0" fontId="70" fillId="0" borderId="74" xfId="1" applyNumberFormat="1" applyFont="1" applyFill="1" applyBorder="1" applyAlignment="1" applyProtection="1">
      <alignment horizontal="center" vertical="center" shrinkToFit="1"/>
      <protection locked="0"/>
    </xf>
    <xf numFmtId="1" fontId="73" fillId="0" borderId="66" xfId="1" applyNumberFormat="1" applyFont="1" applyFill="1" applyBorder="1" applyAlignment="1" applyProtection="1">
      <alignment horizontal="left" vertical="center" shrinkToFit="1"/>
      <protection locked="0"/>
    </xf>
    <xf numFmtId="43" fontId="75" fillId="0" borderId="66" xfId="1" applyFont="1" applyFill="1" applyBorder="1" applyAlignment="1" applyProtection="1">
      <alignment horizontal="center" vertical="center" shrinkToFit="1"/>
      <protection locked="0"/>
    </xf>
    <xf numFmtId="43" fontId="75" fillId="31" borderId="66" xfId="1" applyFont="1" applyFill="1" applyBorder="1" applyAlignment="1" applyProtection="1">
      <alignment vertical="center" shrinkToFit="1"/>
      <protection locked="0"/>
    </xf>
    <xf numFmtId="0" fontId="75" fillId="0" borderId="82" xfId="1" applyNumberFormat="1" applyFont="1" applyFill="1" applyBorder="1" applyAlignment="1" applyProtection="1">
      <alignment horizontal="center" vertical="center" shrinkToFit="1"/>
      <protection locked="0"/>
    </xf>
    <xf numFmtId="43" fontId="71" fillId="23" borderId="65" xfId="1" applyFont="1" applyFill="1" applyBorder="1" applyProtection="1">
      <protection hidden="1"/>
    </xf>
    <xf numFmtId="0" fontId="65" fillId="0" borderId="66" xfId="0" applyFont="1" applyBorder="1" applyAlignment="1" applyProtection="1">
      <alignment horizontal="center"/>
      <protection locked="0"/>
    </xf>
    <xf numFmtId="4" fontId="70" fillId="0" borderId="66" xfId="7" applyNumberFormat="1" applyFont="1" applyFill="1" applyBorder="1" applyAlignment="1" applyProtection="1">
      <alignment horizontal="center"/>
      <protection hidden="1"/>
    </xf>
    <xf numFmtId="43" fontId="70" fillId="0" borderId="66" xfId="6" applyNumberFormat="1" applyFont="1" applyFill="1" applyBorder="1" applyAlignment="1" applyProtection="1">
      <alignment horizontal="center" vertical="center" shrinkToFit="1"/>
      <protection locked="0"/>
    </xf>
    <xf numFmtId="43" fontId="71" fillId="31" borderId="66" xfId="1" applyFont="1" applyFill="1" applyBorder="1" applyAlignment="1" applyProtection="1">
      <alignment vertical="center" shrinkToFit="1"/>
      <protection locked="0"/>
    </xf>
    <xf numFmtId="0" fontId="70" fillId="0" borderId="82" xfId="1" applyNumberFormat="1" applyFont="1" applyFill="1" applyBorder="1" applyAlignment="1" applyProtection="1">
      <alignment horizontal="center" vertical="center" shrinkToFit="1"/>
      <protection locked="0"/>
    </xf>
    <xf numFmtId="0" fontId="74" fillId="0" borderId="3" xfId="6" applyFont="1" applyFill="1" applyBorder="1" applyAlignment="1" applyProtection="1">
      <alignment horizontal="center" vertical="center"/>
      <protection locked="0"/>
    </xf>
    <xf numFmtId="43" fontId="65" fillId="0" borderId="4" xfId="1" applyFont="1" applyFill="1" applyBorder="1" applyAlignment="1" applyProtection="1">
      <alignment horizontal="center" shrinkToFit="1"/>
      <protection locked="0"/>
    </xf>
    <xf numFmtId="0" fontId="70" fillId="0" borderId="4" xfId="1" applyNumberFormat="1" applyFont="1" applyFill="1" applyBorder="1" applyAlignment="1" applyProtection="1">
      <alignment horizontal="center" vertical="center" shrinkToFit="1"/>
      <protection locked="0"/>
    </xf>
    <xf numFmtId="1" fontId="70" fillId="0" borderId="4" xfId="1" applyNumberFormat="1" applyFont="1" applyFill="1" applyBorder="1" applyAlignment="1" applyProtection="1">
      <alignment horizontal="center" vertical="center" shrinkToFit="1"/>
      <protection locked="0"/>
    </xf>
    <xf numFmtId="0" fontId="70" fillId="0" borderId="26" xfId="1" applyNumberFormat="1" applyFont="1" applyFill="1" applyBorder="1" applyAlignment="1" applyProtection="1">
      <alignment horizontal="center" vertical="center" shrinkToFit="1"/>
      <protection locked="0"/>
    </xf>
    <xf numFmtId="43" fontId="70" fillId="0" borderId="4" xfId="1" applyFont="1" applyFill="1" applyBorder="1" applyAlignment="1" applyProtection="1">
      <alignment horizontal="center" vertical="center" shrinkToFit="1"/>
      <protection locked="0"/>
    </xf>
    <xf numFmtId="1" fontId="73" fillId="0" borderId="4" xfId="1" applyNumberFormat="1" applyFont="1" applyFill="1" applyBorder="1" applyAlignment="1" applyProtection="1">
      <alignment horizontal="center" vertical="center" shrinkToFit="1"/>
      <protection locked="0"/>
    </xf>
    <xf numFmtId="43" fontId="71" fillId="31" borderId="4" xfId="1" applyFont="1" applyFill="1" applyBorder="1" applyAlignment="1" applyProtection="1">
      <alignment horizontal="left" vertical="center" shrinkToFit="1"/>
      <protection locked="0"/>
    </xf>
    <xf numFmtId="0" fontId="70" fillId="0" borderId="39" xfId="1" applyNumberFormat="1" applyFont="1" applyFill="1" applyBorder="1" applyAlignment="1" applyProtection="1">
      <alignment horizontal="center" vertical="center" shrinkToFit="1"/>
      <protection locked="0"/>
    </xf>
    <xf numFmtId="43" fontId="71" fillId="23" borderId="3" xfId="1" applyFont="1" applyFill="1" applyBorder="1" applyProtection="1">
      <protection hidden="1"/>
    </xf>
    <xf numFmtId="14" fontId="65" fillId="0" borderId="4" xfId="0" applyNumberFormat="1" applyFont="1" applyBorder="1" applyAlignment="1" applyProtection="1">
      <alignment horizontal="center"/>
      <protection locked="0"/>
    </xf>
    <xf numFmtId="4" fontId="70" fillId="0" borderId="4" xfId="7" applyNumberFormat="1" applyFont="1" applyFill="1" applyBorder="1" applyAlignment="1" applyProtection="1">
      <alignment horizontal="center"/>
      <protection hidden="1"/>
    </xf>
    <xf numFmtId="0" fontId="70" fillId="0" borderId="0" xfId="6" applyFont="1" applyBorder="1" applyAlignment="1" applyProtection="1">
      <alignment vertical="center"/>
      <protection locked="0"/>
    </xf>
    <xf numFmtId="1" fontId="70" fillId="0" borderId="66" xfId="1" applyNumberFormat="1" applyFont="1" applyFill="1" applyBorder="1" applyAlignment="1" applyProtection="1">
      <alignment horizontal="center" vertical="center" shrinkToFit="1"/>
      <protection locked="0"/>
    </xf>
    <xf numFmtId="0" fontId="65" fillId="0" borderId="4" xfId="1" applyNumberFormat="1" applyFont="1" applyFill="1" applyBorder="1" applyAlignment="1" applyProtection="1">
      <alignment horizontal="center" shrinkToFit="1"/>
      <protection locked="0"/>
    </xf>
    <xf numFmtId="43" fontId="66" fillId="31" borderId="71" xfId="1" applyFont="1" applyFill="1" applyBorder="1" applyAlignment="1" applyProtection="1">
      <alignment horizontal="center"/>
      <protection locked="0"/>
    </xf>
    <xf numFmtId="43" fontId="66" fillId="10" borderId="33" xfId="1" applyFont="1" applyFill="1" applyBorder="1" applyAlignment="1" applyProtection="1">
      <alignment horizontal="center"/>
      <protection locked="0"/>
    </xf>
    <xf numFmtId="0" fontId="66" fillId="0" borderId="0" xfId="0" applyFont="1" applyProtection="1">
      <protection locked="0"/>
    </xf>
    <xf numFmtId="43" fontId="66" fillId="0" borderId="0" xfId="1" applyFont="1" applyProtection="1">
      <protection locked="0"/>
    </xf>
    <xf numFmtId="4" fontId="65" fillId="0" borderId="0" xfId="1" applyNumberFormat="1" applyFont="1" applyProtection="1">
      <protection locked="0"/>
    </xf>
    <xf numFmtId="0" fontId="65" fillId="0" borderId="0" xfId="0" applyFont="1"/>
    <xf numFmtId="0" fontId="76" fillId="11" borderId="0" xfId="0" applyFont="1" applyFill="1" applyProtection="1">
      <protection locked="0"/>
    </xf>
    <xf numFmtId="43" fontId="60" fillId="11" borderId="0" xfId="1" applyFont="1" applyFill="1" applyBorder="1" applyAlignment="1" applyProtection="1">
      <alignment horizontal="centerContinuous"/>
      <protection locked="0"/>
    </xf>
    <xf numFmtId="43" fontId="60" fillId="11" borderId="0" xfId="1" applyFont="1" applyFill="1" applyAlignment="1" applyProtection="1">
      <alignment horizontal="centerContinuous" vertical="center"/>
      <protection locked="0"/>
    </xf>
    <xf numFmtId="43" fontId="70" fillId="0" borderId="66" xfId="1" applyFont="1" applyFill="1" applyBorder="1" applyAlignment="1" applyProtection="1">
      <alignment vertical="center"/>
      <protection locked="0"/>
    </xf>
    <xf numFmtId="43" fontId="70" fillId="0" borderId="4" xfId="1" applyFont="1" applyFill="1" applyBorder="1" applyAlignment="1" applyProtection="1">
      <alignment vertical="center"/>
      <protection locked="0"/>
    </xf>
    <xf numFmtId="1" fontId="69" fillId="25" borderId="23" xfId="1" applyNumberFormat="1" applyFont="1" applyFill="1" applyBorder="1" applyAlignment="1" applyProtection="1">
      <alignment horizontal="center" vertical="top" wrapText="1"/>
      <protection locked="0"/>
    </xf>
    <xf numFmtId="1" fontId="73" fillId="25" borderId="63" xfId="1" quotePrefix="1" applyNumberFormat="1" applyFont="1" applyFill="1" applyBorder="1" applyAlignment="1" applyProtection="1">
      <alignment horizontal="center" vertical="center" shrinkToFit="1"/>
      <protection locked="0"/>
    </xf>
    <xf numFmtId="43" fontId="73" fillId="25" borderId="63" xfId="1" applyFont="1" applyFill="1" applyBorder="1" applyAlignment="1" applyProtection="1">
      <alignment horizontal="center" vertical="center" shrinkToFit="1"/>
      <protection locked="0"/>
    </xf>
    <xf numFmtId="1" fontId="61" fillId="25" borderId="63" xfId="1" quotePrefix="1" applyNumberFormat="1" applyFont="1" applyFill="1" applyBorder="1" applyAlignment="1" applyProtection="1">
      <alignment horizontal="center" vertical="center" shrinkToFit="1"/>
      <protection locked="0"/>
    </xf>
    <xf numFmtId="43" fontId="61" fillId="25" borderId="62" xfId="1" applyFont="1" applyFill="1" applyBorder="1" applyAlignment="1" applyProtection="1">
      <alignment horizontal="center" vertical="center" shrinkToFit="1"/>
      <protection locked="0"/>
    </xf>
    <xf numFmtId="0" fontId="63" fillId="11" borderId="0" xfId="3" applyFont="1" applyFill="1" applyBorder="1" applyAlignment="1" applyProtection="1">
      <alignment horizontal="center"/>
      <protection locked="0"/>
    </xf>
    <xf numFmtId="0" fontId="66" fillId="11" borderId="0" xfId="4" applyFont="1" applyFill="1" applyAlignment="1" applyProtection="1">
      <alignment horizontal="left" vertical="center"/>
      <protection locked="0"/>
    </xf>
    <xf numFmtId="0" fontId="66" fillId="11" borderId="0" xfId="4" applyFont="1" applyFill="1" applyAlignment="1" applyProtection="1">
      <alignment horizontal="center" vertical="center"/>
      <protection locked="0"/>
    </xf>
    <xf numFmtId="4" fontId="66" fillId="11" borderId="0" xfId="1" applyNumberFormat="1" applyFont="1" applyFill="1" applyProtection="1">
      <protection locked="0"/>
    </xf>
    <xf numFmtId="0" fontId="65" fillId="11" borderId="0" xfId="1" applyNumberFormat="1" applyFont="1" applyFill="1" applyAlignment="1" applyProtection="1">
      <alignment horizontal="center"/>
      <protection locked="0"/>
    </xf>
    <xf numFmtId="4" fontId="65" fillId="11" borderId="0" xfId="1" applyNumberFormat="1" applyFont="1" applyFill="1" applyAlignment="1" applyProtection="1">
      <alignment horizontal="center"/>
      <protection locked="0"/>
    </xf>
    <xf numFmtId="9" fontId="66" fillId="11" borderId="0" xfId="9" applyFont="1" applyFill="1" applyAlignment="1" applyProtection="1">
      <alignment horizontal="center"/>
      <protection locked="0"/>
    </xf>
    <xf numFmtId="0" fontId="65"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6" fillId="31" borderId="33" xfId="0" applyFont="1" applyFill="1" applyBorder="1" applyProtection="1">
      <protection locked="0"/>
    </xf>
    <xf numFmtId="0" fontId="66" fillId="31" borderId="33" xfId="0" applyFont="1" applyFill="1" applyBorder="1" applyAlignment="1" applyProtection="1">
      <alignment horizontal="center"/>
      <protection locked="0"/>
    </xf>
    <xf numFmtId="1" fontId="66" fillId="31" borderId="33" xfId="1" applyNumberFormat="1" applyFont="1" applyFill="1" applyBorder="1" applyAlignment="1" applyProtection="1">
      <alignment horizontal="center"/>
      <protection locked="0"/>
    </xf>
    <xf numFmtId="1" fontId="64" fillId="31" borderId="71" xfId="1" applyNumberFormat="1" applyFont="1" applyFill="1" applyBorder="1" applyAlignment="1" applyProtection="1">
      <alignment horizontal="center"/>
      <protection locked="0"/>
    </xf>
    <xf numFmtId="43" fontId="64" fillId="31" borderId="71" xfId="1" applyFont="1" applyFill="1" applyBorder="1" applyAlignment="1" applyProtection="1">
      <alignment horizontal="center"/>
      <protection locked="0"/>
    </xf>
    <xf numFmtId="0" fontId="66" fillId="31" borderId="71" xfId="1" applyNumberFormat="1" applyFont="1" applyFill="1" applyBorder="1" applyAlignment="1" applyProtection="1">
      <alignment horizontal="center"/>
      <protection locked="0"/>
    </xf>
    <xf numFmtId="43" fontId="60" fillId="31" borderId="71" xfId="1" applyFont="1" applyFill="1" applyBorder="1" applyAlignment="1" applyProtection="1">
      <alignment horizontal="center"/>
      <protection locked="0"/>
    </xf>
    <xf numFmtId="43" fontId="71" fillId="31" borderId="73" xfId="1" applyFont="1" applyFill="1" applyBorder="1" applyAlignment="1" applyProtection="1">
      <alignment vertical="center" shrinkToFit="1"/>
      <protection locked="0"/>
    </xf>
    <xf numFmtId="43" fontId="71" fillId="31" borderId="75" xfId="1" applyFont="1" applyFill="1" applyBorder="1" applyAlignment="1" applyProtection="1">
      <alignment vertical="center" shrinkToFit="1"/>
      <protection locked="0"/>
    </xf>
    <xf numFmtId="43" fontId="71" fillId="31" borderId="75" xfId="1" applyFont="1" applyFill="1" applyBorder="1" applyAlignment="1" applyProtection="1">
      <alignment vertical="center"/>
      <protection locked="0"/>
    </xf>
    <xf numFmtId="43" fontId="71" fillId="31" borderId="60" xfId="1" applyFont="1" applyFill="1" applyBorder="1" applyAlignment="1" applyProtection="1">
      <alignment horizontal="left" vertical="center" shrinkToFit="1"/>
      <protection locked="0"/>
    </xf>
    <xf numFmtId="43" fontId="61" fillId="25" borderId="63" xfId="1" applyFont="1" applyFill="1" applyBorder="1" applyAlignment="1" applyProtection="1">
      <alignment horizontal="center" vertical="center" shrinkToFit="1"/>
      <protection locked="0"/>
    </xf>
    <xf numFmtId="0" fontId="70" fillId="0" borderId="62" xfId="6" applyFont="1" applyFill="1" applyBorder="1" applyAlignment="1" applyProtection="1">
      <alignment horizontal="center" vertical="center"/>
      <protection locked="0"/>
    </xf>
    <xf numFmtId="1" fontId="70" fillId="0" borderId="62" xfId="6" quotePrefix="1" applyNumberFormat="1" applyFont="1" applyFill="1" applyBorder="1" applyAlignment="1" applyProtection="1">
      <alignment horizontal="center" vertical="center"/>
      <protection locked="0"/>
    </xf>
    <xf numFmtId="0" fontId="70" fillId="0" borderId="63" xfId="6" applyFont="1" applyFill="1" applyBorder="1" applyAlignment="1" applyProtection="1">
      <alignment horizontal="center" vertical="center" shrinkToFit="1"/>
      <protection locked="0"/>
    </xf>
    <xf numFmtId="1" fontId="70" fillId="0" borderId="63" xfId="1" quotePrefix="1" applyNumberFormat="1" applyFont="1" applyFill="1" applyBorder="1" applyAlignment="1" applyProtection="1">
      <alignment horizontal="center" vertical="center" shrinkToFit="1"/>
      <protection locked="0"/>
    </xf>
    <xf numFmtId="43" fontId="70"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0" fillId="0" borderId="72" xfId="1" quotePrefix="1" applyNumberFormat="1" applyFont="1" applyFill="1" applyBorder="1" applyAlignment="1" applyProtection="1">
      <alignment horizontal="center" vertical="center" shrinkToFit="1"/>
      <protection locked="0"/>
    </xf>
    <xf numFmtId="43" fontId="53" fillId="0" borderId="61" xfId="1" applyFont="1" applyFill="1" applyBorder="1" applyAlignment="1" applyProtection="1">
      <alignment vertical="center" shrinkToFit="1"/>
      <protection locked="0"/>
    </xf>
    <xf numFmtId="9" fontId="58" fillId="11" borderId="0" xfId="9" applyFont="1" applyFill="1" applyAlignment="1" applyProtection="1">
      <alignment horizontal="center"/>
      <protection locked="0"/>
    </xf>
    <xf numFmtId="43" fontId="66" fillId="31" borderId="33" xfId="1" applyFont="1" applyFill="1" applyBorder="1" applyAlignment="1" applyProtection="1">
      <alignment horizontal="center"/>
      <protection locked="0"/>
    </xf>
    <xf numFmtId="0" fontId="8" fillId="11" borderId="0" xfId="12" applyFont="1" applyFill="1" applyAlignment="1">
      <alignment horizontal="center" vertical="center"/>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6" fillId="11" borderId="0" xfId="1" applyNumberFormat="1" applyFont="1" applyFill="1" applyBorder="1" applyAlignment="1" applyProtection="1">
      <alignment horizontal="center"/>
      <protection locked="0"/>
    </xf>
    <xf numFmtId="43" fontId="66" fillId="11" borderId="0" xfId="1" applyFont="1" applyFill="1" applyBorder="1" applyAlignment="1" applyProtection="1">
      <alignment horizontal="center"/>
      <protection locked="0"/>
    </xf>
    <xf numFmtId="1" fontId="64" fillId="11" borderId="0" xfId="1" applyNumberFormat="1" applyFont="1" applyFill="1" applyBorder="1" applyAlignment="1" applyProtection="1">
      <alignment horizontal="center"/>
      <protection locked="0"/>
    </xf>
    <xf numFmtId="43" fontId="64" fillId="11" borderId="0" xfId="1" applyFont="1" applyFill="1" applyBorder="1" applyAlignment="1" applyProtection="1">
      <alignment horizontal="center"/>
      <protection locked="0"/>
    </xf>
    <xf numFmtId="0" fontId="66"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0" fillId="11" borderId="0" xfId="1" applyFont="1" applyFill="1" applyBorder="1" applyAlignment="1" applyProtection="1">
      <alignment horizontal="center"/>
      <protection locked="0"/>
    </xf>
    <xf numFmtId="0" fontId="65" fillId="0" borderId="0" xfId="0" applyFont="1" applyAlignment="1" applyProtection="1">
      <alignment vertical="center"/>
      <protection locked="0"/>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8" fillId="11" borderId="0" xfId="1" applyNumberFormat="1" applyFont="1" applyFill="1" applyAlignment="1" applyProtection="1">
      <alignment horizontal="centerContinuous" vertical="center"/>
      <protection locked="0"/>
    </xf>
    <xf numFmtId="0" fontId="68" fillId="11" borderId="0" xfId="1" applyNumberFormat="1" applyFont="1" applyFill="1" applyAlignment="1" applyProtection="1">
      <alignment horizontal="center"/>
      <protection locked="0"/>
    </xf>
    <xf numFmtId="0" fontId="68" fillId="0" borderId="70" xfId="1" applyNumberFormat="1" applyFont="1" applyFill="1" applyBorder="1" applyAlignment="1" applyProtection="1">
      <alignment horizontal="center" vertical="center" shrinkToFit="1"/>
      <protection locked="0"/>
    </xf>
    <xf numFmtId="0" fontId="68" fillId="0" borderId="68" xfId="1" applyNumberFormat="1" applyFont="1" applyFill="1" applyBorder="1" applyAlignment="1" applyProtection="1">
      <alignment horizontal="center" vertical="center" shrinkToFit="1"/>
      <protection locked="0"/>
    </xf>
    <xf numFmtId="1" fontId="68" fillId="31" borderId="33" xfId="1" applyNumberFormat="1" applyFont="1" applyFill="1" applyBorder="1" applyAlignment="1" applyProtection="1">
      <alignment horizontal="center"/>
      <protection locked="0"/>
    </xf>
    <xf numFmtId="1" fontId="68" fillId="11" borderId="0" xfId="1" applyNumberFormat="1" applyFont="1" applyFill="1" applyBorder="1" applyAlignment="1" applyProtection="1">
      <alignment horizontal="center"/>
      <protection locked="0"/>
    </xf>
    <xf numFmtId="43" fontId="45" fillId="0" borderId="72" xfId="1" applyFont="1" applyFill="1" applyBorder="1" applyAlignment="1" applyProtection="1">
      <alignment horizontal="center" vertical="center" shrinkToFit="1"/>
      <protection locked="0"/>
    </xf>
    <xf numFmtId="1" fontId="45" fillId="25" borderId="63" xfId="1" quotePrefix="1" applyNumberFormat="1" applyFont="1" applyFill="1" applyBorder="1" applyAlignment="1" applyProtection="1">
      <alignment horizontal="center" vertical="center" shrinkToFit="1"/>
      <protection locked="0"/>
    </xf>
    <xf numFmtId="43" fontId="45" fillId="25" borderId="62" xfId="1" applyFont="1" applyFill="1" applyBorder="1" applyAlignment="1" applyProtection="1">
      <alignment horizontal="center" vertical="center" shrinkToFit="1"/>
      <protection locked="0"/>
    </xf>
    <xf numFmtId="43" fontId="45" fillId="32" borderId="6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17" fontId="70" fillId="0" borderId="66" xfId="1" applyNumberFormat="1" applyFont="1" applyFill="1" applyBorder="1" applyAlignment="1" applyProtection="1">
      <alignment horizontal="center" vertical="center" shrinkToFit="1"/>
      <protection locked="0"/>
    </xf>
    <xf numFmtId="43" fontId="45" fillId="0" borderId="3" xfId="1" applyFont="1" applyFill="1" applyBorder="1" applyAlignment="1" applyProtection="1">
      <alignment horizontal="center" vertical="center" shrinkToFit="1"/>
      <protection locked="0"/>
    </xf>
    <xf numFmtId="43" fontId="63" fillId="11" borderId="0" xfId="1" applyFont="1" applyFill="1" applyBorder="1" applyAlignment="1" applyProtection="1">
      <alignment horizontal="center"/>
      <protection locked="0"/>
    </xf>
    <xf numFmtId="43" fontId="66" fillId="11" borderId="0" xfId="1" applyFont="1" applyFill="1" applyAlignment="1" applyProtection="1">
      <alignment horizontal="center" vertical="center"/>
      <protection locked="0"/>
    </xf>
    <xf numFmtId="43" fontId="75" fillId="0" borderId="112" xfId="1" applyFont="1" applyFill="1" applyBorder="1" applyAlignment="1" applyProtection="1">
      <alignment horizontal="center" vertical="center" shrinkToFit="1"/>
      <protection locked="0"/>
    </xf>
    <xf numFmtId="43" fontId="75" fillId="0" borderId="113" xfId="1" applyFont="1" applyFill="1" applyBorder="1" applyAlignment="1" applyProtection="1">
      <alignment horizontal="center" vertical="center" shrinkToFit="1"/>
      <protection locked="0"/>
    </xf>
    <xf numFmtId="43" fontId="75" fillId="0" borderId="115" xfId="1" applyFont="1" applyFill="1" applyBorder="1" applyAlignment="1" applyProtection="1">
      <alignment horizontal="center" vertical="center" shrinkToFit="1"/>
      <protection locked="0"/>
    </xf>
    <xf numFmtId="43" fontId="70" fillId="0" borderId="112" xfId="1" applyFont="1" applyFill="1" applyBorder="1" applyAlignment="1" applyProtection="1">
      <alignment horizontal="center" vertical="center" shrinkToFit="1"/>
      <protection locked="0"/>
    </xf>
    <xf numFmtId="43" fontId="70" fillId="0" borderId="113" xfId="1" applyFont="1" applyFill="1" applyBorder="1" applyAlignment="1" applyProtection="1">
      <alignment horizontal="center" vertical="center" shrinkToFit="1"/>
      <protection locked="0"/>
    </xf>
    <xf numFmtId="43" fontId="70" fillId="0" borderId="64" xfId="1" applyFont="1" applyFill="1" applyBorder="1" applyAlignment="1" applyProtection="1">
      <alignment horizontal="center" vertical="center" shrinkToFit="1"/>
      <protection locked="0"/>
    </xf>
    <xf numFmtId="43" fontId="70" fillId="0" borderId="109" xfId="1" applyFont="1" applyFill="1" applyBorder="1" applyAlignment="1" applyProtection="1">
      <alignment horizontal="center" vertical="center" shrinkToFit="1"/>
      <protection locked="0"/>
    </xf>
    <xf numFmtId="43" fontId="70" fillId="0" borderId="110" xfId="1" applyFont="1" applyFill="1" applyBorder="1" applyAlignment="1" applyProtection="1">
      <alignment horizontal="center" vertical="center" shrinkToFit="1"/>
      <protection locked="0"/>
    </xf>
    <xf numFmtId="0" fontId="70" fillId="8" borderId="63" xfId="6" applyFont="1" applyFill="1" applyBorder="1" applyAlignment="1" applyProtection="1">
      <alignment vertical="center" shrinkToFit="1"/>
      <protection locked="0"/>
    </xf>
    <xf numFmtId="0" fontId="69" fillId="8" borderId="66" xfId="6" applyFont="1" applyFill="1" applyBorder="1" applyAlignment="1" applyProtection="1">
      <alignment vertical="center" shrinkToFit="1"/>
      <protection locked="0"/>
    </xf>
    <xf numFmtId="0" fontId="75" fillId="8" borderId="66" xfId="6" applyFont="1" applyFill="1" applyBorder="1" applyAlignment="1" applyProtection="1">
      <alignment vertical="center" shrinkToFit="1"/>
      <protection locked="0"/>
    </xf>
    <xf numFmtId="0" fontId="75" fillId="8" borderId="4" xfId="6" applyFont="1" applyFill="1" applyBorder="1" applyAlignment="1" applyProtection="1">
      <alignment horizontal="left" vertical="center" shrinkToFit="1"/>
      <protection locked="0"/>
    </xf>
    <xf numFmtId="0" fontId="81" fillId="8" borderId="66" xfId="6" applyFont="1" applyFill="1" applyBorder="1" applyAlignment="1" applyProtection="1">
      <alignment vertical="center" shrinkToFit="1"/>
      <protection locked="0"/>
    </xf>
    <xf numFmtId="0" fontId="82" fillId="8" borderId="4" xfId="6" applyFont="1" applyFill="1" applyBorder="1" applyAlignment="1" applyProtection="1">
      <alignment horizontal="left" vertical="center" shrinkToFit="1"/>
      <protection locked="0"/>
    </xf>
    <xf numFmtId="0" fontId="83" fillId="0" borderId="70" xfId="1" applyNumberFormat="1" applyFont="1" applyFill="1" applyBorder="1" applyAlignment="1" applyProtection="1">
      <alignment horizontal="center" vertical="center" shrinkToFit="1"/>
      <protection locked="0"/>
    </xf>
    <xf numFmtId="0" fontId="69" fillId="5" borderId="68" xfId="8" applyFont="1" applyFill="1" applyBorder="1" applyAlignment="1" applyProtection="1">
      <alignment horizontal="center" vertical="center" wrapText="1"/>
      <protection locked="0"/>
    </xf>
    <xf numFmtId="4" fontId="70" fillId="0" borderId="69" xfId="7" applyNumberFormat="1" applyFont="1" applyFill="1" applyBorder="1" applyAlignment="1" applyProtection="1">
      <alignment horizontal="center"/>
      <protection hidden="1"/>
    </xf>
    <xf numFmtId="4" fontId="70" fillId="0" borderId="70" xfId="7" applyNumberFormat="1" applyFont="1" applyFill="1" applyBorder="1" applyAlignment="1" applyProtection="1">
      <alignment horizontal="center"/>
      <protection hidden="1"/>
    </xf>
    <xf numFmtId="4" fontId="70" fillId="0" borderId="68" xfId="7" applyNumberFormat="1" applyFont="1" applyFill="1" applyBorder="1" applyAlignment="1" applyProtection="1">
      <alignment horizontal="center"/>
      <protection hidden="1"/>
    </xf>
    <xf numFmtId="43" fontId="84" fillId="0" borderId="66" xfId="6" applyNumberFormat="1" applyFont="1" applyFill="1" applyBorder="1" applyAlignment="1" applyProtection="1">
      <alignment horizontal="center" vertical="center" shrinkToFit="1"/>
      <protection locked="0"/>
    </xf>
    <xf numFmtId="43" fontId="46" fillId="0" borderId="116" xfId="1" applyFont="1" applyFill="1" applyBorder="1" applyAlignment="1" applyProtection="1">
      <alignment horizontal="center" vertical="center" shrinkToFit="1"/>
      <protection locked="0"/>
    </xf>
    <xf numFmtId="1" fontId="61" fillId="25" borderId="117" xfId="1" quotePrefix="1" applyNumberFormat="1" applyFont="1" applyFill="1" applyBorder="1" applyAlignment="1" applyProtection="1">
      <alignment horizontal="center" vertical="center" shrinkToFit="1"/>
      <protection locked="0"/>
    </xf>
    <xf numFmtId="43" fontId="61" fillId="25" borderId="118" xfId="1" applyFont="1" applyFill="1" applyBorder="1" applyAlignment="1" applyProtection="1">
      <alignment horizontal="center" vertical="center" shrinkToFit="1"/>
      <protection locked="0"/>
    </xf>
    <xf numFmtId="43" fontId="46" fillId="32" borderId="118" xfId="1" applyFont="1" applyFill="1" applyBorder="1" applyAlignment="1" applyProtection="1">
      <alignment horizontal="center" vertical="center" shrinkToFit="1"/>
      <protection locked="0"/>
    </xf>
    <xf numFmtId="43" fontId="46" fillId="0" borderId="117" xfId="1" applyFont="1" applyFill="1" applyBorder="1" applyAlignment="1" applyProtection="1">
      <alignment horizontal="center" vertical="center" shrinkToFit="1"/>
      <protection locked="0"/>
    </xf>
    <xf numFmtId="43" fontId="45" fillId="32" borderId="117" xfId="1" applyFont="1" applyFill="1" applyBorder="1" applyAlignment="1" applyProtection="1">
      <alignment horizontal="center" vertical="center" shrinkToFit="1"/>
      <protection locked="0"/>
    </xf>
    <xf numFmtId="43" fontId="70" fillId="24" borderId="117" xfId="1" applyFont="1" applyFill="1" applyBorder="1" applyAlignment="1" applyProtection="1">
      <alignment vertical="center"/>
      <protection locked="0"/>
    </xf>
    <xf numFmtId="43" fontId="71" fillId="31" borderId="119" xfId="1" applyFont="1" applyFill="1" applyBorder="1" applyAlignment="1" applyProtection="1">
      <alignment vertical="center" shrinkToFit="1"/>
      <protection locked="0"/>
    </xf>
    <xf numFmtId="43" fontId="47" fillId="22" borderId="30" xfId="1" applyFont="1" applyFill="1" applyBorder="1" applyAlignment="1" applyProtection="1">
      <alignment horizontal="center" vertical="top" wrapText="1"/>
      <protection locked="0"/>
    </xf>
    <xf numFmtId="1" fontId="47" fillId="25" borderId="31" xfId="1" applyNumberFormat="1" applyFont="1" applyFill="1" applyBorder="1" applyAlignment="1" applyProtection="1">
      <alignment horizontal="center" vertical="top" wrapText="1"/>
      <protection locked="0"/>
    </xf>
    <xf numFmtId="43" fontId="47" fillId="22" borderId="32" xfId="1" applyFont="1" applyFill="1" applyBorder="1" applyAlignment="1" applyProtection="1">
      <alignment horizontal="center" vertical="top" wrapText="1"/>
      <protection locked="0"/>
    </xf>
    <xf numFmtId="4" fontId="70" fillId="12" borderId="32" xfId="8" applyNumberFormat="1" applyFont="1" applyFill="1" applyBorder="1" applyAlignment="1" applyProtection="1">
      <alignment horizontal="center" vertical="center" wrapText="1"/>
      <protection locked="0"/>
    </xf>
    <xf numFmtId="43" fontId="62" fillId="33" borderId="121" xfId="1" applyFont="1" applyFill="1" applyBorder="1" applyAlignment="1" applyProtection="1">
      <alignment horizontal="center" vertical="top" wrapText="1"/>
      <protection locked="0"/>
    </xf>
    <xf numFmtId="43" fontId="61" fillId="25" borderId="117" xfId="1" applyFont="1" applyFill="1" applyBorder="1" applyAlignment="1" applyProtection="1">
      <alignment horizontal="center" vertical="center" shrinkToFit="1"/>
      <protection locked="0"/>
    </xf>
    <xf numFmtId="43" fontId="46" fillId="32" borderId="116" xfId="1" applyFont="1" applyFill="1" applyBorder="1" applyAlignment="1" applyProtection="1">
      <alignment vertical="center" shrinkToFit="1"/>
      <protection locked="0"/>
    </xf>
    <xf numFmtId="43" fontId="53" fillId="31" borderId="119" xfId="1" applyFont="1" applyFill="1" applyBorder="1" applyAlignment="1" applyProtection="1">
      <alignment vertical="center" shrinkToFit="1"/>
      <protection locked="0"/>
    </xf>
    <xf numFmtId="43" fontId="62" fillId="22" borderId="30" xfId="1" applyFont="1" applyFill="1" applyBorder="1" applyAlignment="1" applyProtection="1">
      <alignment horizontal="center" vertical="top" wrapText="1"/>
      <protection locked="0"/>
    </xf>
    <xf numFmtId="4" fontId="77" fillId="13" borderId="3" xfId="8" applyNumberFormat="1" applyFont="1" applyFill="1" applyBorder="1" applyAlignment="1" applyProtection="1">
      <alignment horizontal="center" vertical="center" wrapText="1"/>
      <protection hidden="1"/>
    </xf>
    <xf numFmtId="43" fontId="47" fillId="22" borderId="31" xfId="1" applyFont="1" applyFill="1" applyBorder="1" applyAlignment="1" applyProtection="1">
      <alignment horizontal="center" vertical="top" wrapText="1"/>
      <protection locked="0"/>
    </xf>
    <xf numFmtId="43" fontId="69" fillId="37" borderId="59" xfId="1" applyFont="1" applyFill="1" applyBorder="1" applyAlignment="1" applyProtection="1">
      <alignment horizontal="center" vertical="top" wrapText="1"/>
      <protection locked="0"/>
    </xf>
    <xf numFmtId="0" fontId="69" fillId="37" borderId="22" xfId="1" applyNumberFormat="1" applyFont="1" applyFill="1" applyBorder="1" applyAlignment="1" applyProtection="1">
      <alignment horizontal="center" vertical="top" wrapText="1"/>
      <protection locked="0"/>
    </xf>
    <xf numFmtId="43" fontId="69" fillId="37" borderId="23" xfId="1" applyFont="1" applyFill="1" applyBorder="1" applyAlignment="1" applyProtection="1">
      <alignment horizontal="center" vertical="top" wrapText="1"/>
      <protection locked="0"/>
    </xf>
    <xf numFmtId="0" fontId="65" fillId="38" borderId="3" xfId="8" applyFont="1" applyFill="1" applyBorder="1" applyAlignment="1" applyProtection="1">
      <alignment horizontal="center" vertical="top" wrapText="1"/>
      <protection locked="0"/>
    </xf>
    <xf numFmtId="0" fontId="65" fillId="38" borderId="4" xfId="8" applyFont="1" applyFill="1" applyBorder="1" applyAlignment="1" applyProtection="1">
      <alignment horizontal="center" vertical="top" wrapText="1"/>
      <protection locked="0"/>
    </xf>
    <xf numFmtId="0" fontId="65" fillId="38" borderId="24" xfId="8" applyFont="1" applyFill="1" applyBorder="1" applyAlignment="1" applyProtection="1">
      <alignment horizontal="center" vertical="top" wrapText="1"/>
      <protection locked="0"/>
    </xf>
    <xf numFmtId="0" fontId="68" fillId="39" borderId="21" xfId="0" applyFont="1" applyFill="1" applyBorder="1" applyAlignment="1">
      <alignment horizontal="center" vertical="top" wrapText="1"/>
    </xf>
    <xf numFmtId="1" fontId="69" fillId="38" borderId="4" xfId="1" applyNumberFormat="1" applyFont="1" applyFill="1" applyBorder="1" applyAlignment="1" applyProtection="1">
      <alignment horizontal="center" vertical="top" wrapText="1"/>
      <protection locked="0"/>
    </xf>
    <xf numFmtId="43" fontId="87" fillId="0" borderId="113" xfId="1" applyFont="1" applyFill="1" applyBorder="1" applyAlignment="1" applyProtection="1">
      <alignment horizontal="center" vertical="center" shrinkToFit="1"/>
      <protection locked="0"/>
    </xf>
    <xf numFmtId="0" fontId="76" fillId="11" borderId="0" xfId="4" applyFont="1" applyFill="1" applyAlignment="1" applyProtection="1">
      <alignment horizontal="left" vertical="center"/>
      <protection locked="0"/>
    </xf>
    <xf numFmtId="43" fontId="80" fillId="11" borderId="0" xfId="1" applyFont="1" applyFill="1" applyProtection="1">
      <protection locked="0"/>
    </xf>
    <xf numFmtId="0" fontId="65" fillId="11" borderId="0" xfId="0" applyFont="1" applyFill="1" applyAlignment="1" applyProtection="1">
      <alignment horizontal="center"/>
      <protection locked="0"/>
    </xf>
    <xf numFmtId="0" fontId="65" fillId="11" borderId="0" xfId="0" applyFont="1" applyFill="1" applyProtection="1">
      <protection locked="0"/>
    </xf>
    <xf numFmtId="1" fontId="65" fillId="11" borderId="0" xfId="1" applyNumberFormat="1" applyFont="1" applyFill="1" applyAlignment="1" applyProtection="1">
      <alignment horizontal="center"/>
      <protection locked="0"/>
    </xf>
    <xf numFmtId="1" fontId="73" fillId="11" borderId="0" xfId="1" applyNumberFormat="1" applyFont="1" applyFill="1" applyAlignment="1" applyProtection="1">
      <alignment horizontal="center"/>
      <protection locked="0"/>
    </xf>
    <xf numFmtId="43" fontId="66" fillId="11" borderId="0" xfId="1" applyFont="1" applyFill="1" applyProtection="1">
      <protection locked="0"/>
    </xf>
    <xf numFmtId="43" fontId="58" fillId="11" borderId="0" xfId="1" applyFont="1" applyFill="1" applyAlignment="1" applyProtection="1">
      <alignment vertical="center"/>
      <protection locked="0"/>
    </xf>
    <xf numFmtId="0" fontId="65" fillId="11" borderId="0" xfId="0" applyFont="1" applyFill="1" applyAlignment="1" applyProtection="1">
      <alignment vertical="center"/>
      <protection locked="0"/>
    </xf>
    <xf numFmtId="0" fontId="65" fillId="11" borderId="0" xfId="1" applyNumberFormat="1" applyFont="1" applyFill="1" applyAlignment="1" applyProtection="1">
      <alignment horizontal="center" vertical="center"/>
      <protection locked="0"/>
    </xf>
    <xf numFmtId="43" fontId="65" fillId="11" borderId="0" xfId="1" applyFont="1" applyFill="1" applyAlignment="1" applyProtection="1">
      <alignment horizontal="center" vertical="center"/>
      <protection locked="0"/>
    </xf>
    <xf numFmtId="1" fontId="65" fillId="11" borderId="0" xfId="1" applyNumberFormat="1" applyFont="1" applyFill="1" applyAlignment="1" applyProtection="1">
      <alignment horizontal="center" vertical="center"/>
      <protection locked="0"/>
    </xf>
    <xf numFmtId="0" fontId="68" fillId="11" borderId="0" xfId="1" applyNumberFormat="1" applyFont="1" applyFill="1" applyAlignment="1" applyProtection="1">
      <alignment horizontal="center" vertical="center"/>
      <protection locked="0"/>
    </xf>
    <xf numFmtId="1" fontId="73" fillId="11" borderId="0" xfId="1" applyNumberFormat="1" applyFont="1" applyFill="1" applyAlignment="1" applyProtection="1">
      <alignment horizontal="center" vertical="center"/>
      <protection locked="0"/>
    </xf>
    <xf numFmtId="43" fontId="66" fillId="11" borderId="0" xfId="1" applyFont="1" applyFill="1" applyAlignment="1" applyProtection="1">
      <alignment vertical="center"/>
      <protection locked="0"/>
    </xf>
    <xf numFmtId="43" fontId="65" fillId="11" borderId="0" xfId="0" applyNumberFormat="1" applyFont="1" applyFill="1" applyAlignment="1" applyProtection="1">
      <alignment horizontal="center"/>
      <protection locked="0"/>
    </xf>
    <xf numFmtId="43" fontId="61" fillId="11" borderId="0" xfId="1" applyFont="1" applyFill="1" applyAlignment="1" applyProtection="1">
      <alignment horizontal="center"/>
      <protection locked="0"/>
    </xf>
    <xf numFmtId="4" fontId="65" fillId="11" borderId="0" xfId="1" applyNumberFormat="1" applyFont="1" applyFill="1" applyProtection="1">
      <protection locked="0"/>
    </xf>
    <xf numFmtId="43" fontId="60" fillId="11" borderId="0" xfId="1" applyFont="1" applyFill="1" applyProtection="1">
      <protection locked="0"/>
    </xf>
    <xf numFmtId="43" fontId="45" fillId="11" borderId="0" xfId="1" applyFont="1" applyFill="1" applyProtection="1">
      <protection locked="0"/>
    </xf>
    <xf numFmtId="43" fontId="6" fillId="11" borderId="0" xfId="1" applyFont="1" applyFill="1" applyProtection="1">
      <protection locked="0"/>
    </xf>
    <xf numFmtId="4" fontId="63" fillId="11" borderId="0" xfId="1" applyNumberFormat="1" applyFont="1" applyFill="1" applyProtection="1">
      <protection locked="0"/>
    </xf>
    <xf numFmtId="43" fontId="63" fillId="11" borderId="0" xfId="1" applyFont="1" applyFill="1" applyProtection="1">
      <protection locked="0"/>
    </xf>
    <xf numFmtId="4" fontId="63" fillId="11" borderId="0" xfId="1" applyNumberFormat="1" applyFont="1" applyFill="1" applyAlignment="1" applyProtection="1">
      <alignment horizontal="center"/>
      <protection locked="0"/>
    </xf>
    <xf numFmtId="0" fontId="65" fillId="11" borderId="0" xfId="0" applyFont="1" applyFill="1"/>
    <xf numFmtId="4" fontId="65" fillId="11" borderId="0" xfId="1" applyNumberFormat="1" applyFont="1" applyFill="1" applyAlignment="1" applyProtection="1">
      <alignment vertical="center"/>
      <protection locked="0"/>
    </xf>
    <xf numFmtId="43" fontId="60" fillId="11" borderId="0" xfId="1" applyFont="1" applyFill="1" applyAlignment="1" applyProtection="1">
      <alignment vertical="center"/>
      <protection locked="0"/>
    </xf>
    <xf numFmtId="43" fontId="45" fillId="11" borderId="0" xfId="1" applyFont="1" applyFill="1" applyAlignment="1" applyProtection="1">
      <alignment vertical="center"/>
      <protection locked="0"/>
    </xf>
    <xf numFmtId="43" fontId="6" fillId="11" borderId="0" xfId="1" applyFont="1" applyFill="1" applyAlignment="1" applyProtection="1">
      <alignment vertical="center"/>
      <protection locked="0"/>
    </xf>
    <xf numFmtId="4" fontId="66" fillId="11" borderId="0" xfId="1" applyNumberFormat="1" applyFont="1" applyFill="1" applyAlignment="1" applyProtection="1">
      <alignment vertical="center"/>
      <protection locked="0"/>
    </xf>
    <xf numFmtId="4" fontId="65" fillId="11" borderId="0" xfId="1" applyNumberFormat="1" applyFont="1" applyFill="1" applyAlignment="1" applyProtection="1">
      <alignment horizontal="center" vertical="center"/>
      <protection locked="0"/>
    </xf>
    <xf numFmtId="0" fontId="65" fillId="11" borderId="0" xfId="0" applyFont="1" applyFill="1" applyAlignment="1">
      <alignment vertical="center"/>
    </xf>
    <xf numFmtId="0" fontId="30" fillId="11" borderId="98" xfId="12" applyFont="1" applyFill="1" applyBorder="1" applyAlignment="1">
      <alignment horizontal="left"/>
    </xf>
    <xf numFmtId="0" fontId="30" fillId="0" borderId="96" xfId="12" applyFont="1" applyBorder="1" applyAlignment="1">
      <alignment horizontal="left"/>
    </xf>
    <xf numFmtId="0" fontId="65" fillId="11" borderId="0" xfId="12" applyFont="1" applyFill="1"/>
    <xf numFmtId="0" fontId="90" fillId="11" borderId="0" xfId="10" applyFont="1" applyFill="1" applyAlignment="1">
      <alignment horizontal="left"/>
    </xf>
    <xf numFmtId="0" fontId="90" fillId="11" borderId="0" xfId="10" applyFont="1" applyFill="1" applyAlignment="1">
      <alignment horizontal="centerContinuous"/>
    </xf>
    <xf numFmtId="43" fontId="90" fillId="11" borderId="0" xfId="11" applyFont="1" applyFill="1" applyAlignment="1">
      <alignment horizontal="centerContinuous"/>
    </xf>
    <xf numFmtId="0" fontId="90" fillId="11" borderId="0" xfId="10" applyFont="1" applyFill="1"/>
    <xf numFmtId="0" fontId="90" fillId="0" borderId="0" xfId="10" applyFont="1"/>
    <xf numFmtId="43" fontId="90" fillId="11" borderId="0" xfId="11" applyFont="1" applyFill="1"/>
    <xf numFmtId="9" fontId="90" fillId="7" borderId="0" xfId="9" applyFont="1" applyFill="1" applyAlignment="1">
      <alignment horizontal="center"/>
    </xf>
    <xf numFmtId="43" fontId="91" fillId="11" borderId="0" xfId="11" applyFont="1" applyFill="1" applyAlignment="1">
      <alignment horizontal="right"/>
    </xf>
    <xf numFmtId="0" fontId="90" fillId="11" borderId="0" xfId="10" applyFont="1" applyFill="1" applyBorder="1" applyAlignment="1"/>
    <xf numFmtId="0" fontId="90" fillId="24" borderId="17" xfId="10" applyFont="1" applyFill="1" applyBorder="1" applyAlignment="1"/>
    <xf numFmtId="0" fontId="90" fillId="10" borderId="0" xfId="10" applyFont="1" applyFill="1"/>
    <xf numFmtId="0" fontId="92" fillId="11" borderId="0" xfId="10" applyFont="1" applyFill="1" applyAlignment="1">
      <alignment horizontal="left"/>
    </xf>
    <xf numFmtId="0" fontId="92" fillId="11" borderId="0" xfId="10" applyFont="1" applyFill="1"/>
    <xf numFmtId="0" fontId="68" fillId="40" borderId="93" xfId="1" applyNumberFormat="1" applyFont="1" applyFill="1" applyBorder="1" applyAlignment="1" applyProtection="1">
      <alignment horizontal="center" vertical="top" wrapText="1"/>
      <protection locked="0"/>
    </xf>
    <xf numFmtId="0" fontId="70" fillId="40" borderId="81" xfId="1" applyNumberFormat="1" applyFont="1" applyFill="1" applyBorder="1" applyAlignment="1" applyProtection="1">
      <alignment horizontal="center" vertical="center" shrinkToFit="1"/>
      <protection locked="0"/>
    </xf>
    <xf numFmtId="43" fontId="70" fillId="40" borderId="122" xfId="1" applyFont="1" applyFill="1" applyBorder="1" applyAlignment="1" applyProtection="1">
      <alignment horizontal="center" vertical="center" shrinkToFit="1"/>
      <protection locked="0"/>
    </xf>
    <xf numFmtId="43" fontId="70" fillId="40" borderId="123" xfId="1" applyFont="1" applyFill="1" applyBorder="1" applyAlignment="1" applyProtection="1">
      <alignment horizontal="center" vertical="center" shrinkToFit="1"/>
      <protection locked="0"/>
    </xf>
    <xf numFmtId="43" fontId="70" fillId="40" borderId="61" xfId="1" applyFont="1" applyFill="1" applyBorder="1" applyAlignment="1" applyProtection="1">
      <alignment horizontal="center" vertical="center" shrinkToFit="1"/>
      <protection locked="0"/>
    </xf>
    <xf numFmtId="43" fontId="70" fillId="40" borderId="111" xfId="1" applyFont="1" applyFill="1" applyBorder="1" applyAlignment="1" applyProtection="1">
      <alignment horizontal="center" vertical="center" shrinkToFit="1"/>
      <protection locked="0"/>
    </xf>
    <xf numFmtId="43" fontId="70" fillId="40" borderId="114" xfId="1" applyFont="1" applyFill="1" applyBorder="1" applyAlignment="1" applyProtection="1">
      <alignment horizontal="center" vertical="center" shrinkToFit="1"/>
      <protection locked="0"/>
    </xf>
    <xf numFmtId="0" fontId="68" fillId="40" borderId="68" xfId="1" applyNumberFormat="1" applyFont="1" applyFill="1" applyBorder="1" applyAlignment="1" applyProtection="1">
      <alignment horizontal="center" vertical="top" wrapText="1"/>
      <protection locked="0"/>
    </xf>
    <xf numFmtId="10" fontId="68" fillId="40" borderId="69" xfId="1" quotePrefix="1" applyNumberFormat="1" applyFont="1" applyFill="1" applyBorder="1" applyAlignment="1" applyProtection="1">
      <alignment horizontal="center" vertical="center" shrinkToFit="1"/>
      <protection locked="0"/>
    </xf>
    <xf numFmtId="0" fontId="68" fillId="41" borderId="4" xfId="0" applyFont="1" applyFill="1" applyBorder="1" applyAlignment="1">
      <alignment horizontal="center" vertical="top" wrapText="1"/>
    </xf>
    <xf numFmtId="17" fontId="70" fillId="40" borderId="63" xfId="1" quotePrefix="1" applyNumberFormat="1" applyFont="1" applyFill="1" applyBorder="1" applyAlignment="1" applyProtection="1">
      <alignment horizontal="center" vertical="center" shrinkToFit="1"/>
      <protection locked="0"/>
    </xf>
    <xf numFmtId="43" fontId="93" fillId="40" borderId="126" xfId="1" applyFont="1" applyFill="1" applyBorder="1" applyAlignment="1" applyProtection="1">
      <alignment horizontal="center" vertical="center" wrapText="1"/>
      <protection locked="0"/>
    </xf>
    <xf numFmtId="43" fontId="93" fillId="40" borderId="125" xfId="1" applyFont="1" applyFill="1" applyBorder="1" applyAlignment="1" applyProtection="1">
      <alignment horizontal="center" vertical="center" wrapText="1"/>
      <protection locked="0"/>
    </xf>
    <xf numFmtId="43" fontId="93" fillId="40" borderId="128" xfId="1" applyFont="1" applyFill="1" applyBorder="1" applyAlignment="1" applyProtection="1">
      <alignment horizontal="center" vertical="center" wrapText="1"/>
      <protection locked="0"/>
    </xf>
    <xf numFmtId="43" fontId="93" fillId="40" borderId="127" xfId="1" applyFont="1" applyFill="1" applyBorder="1" applyAlignment="1" applyProtection="1">
      <alignment horizontal="center" vertical="center" wrapText="1"/>
      <protection locked="0"/>
    </xf>
    <xf numFmtId="0" fontId="78" fillId="11" borderId="0" xfId="0" applyFont="1" applyFill="1" applyProtection="1">
      <protection locked="0"/>
    </xf>
    <xf numFmtId="0" fontId="32" fillId="0" borderId="20" xfId="12" applyFont="1" applyBorder="1"/>
    <xf numFmtId="43" fontId="66" fillId="11" borderId="0" xfId="1" applyFont="1" applyFill="1" applyBorder="1" applyAlignment="1" applyProtection="1">
      <alignment horizontal="left"/>
      <protection locked="0"/>
    </xf>
    <xf numFmtId="0" fontId="79" fillId="11" borderId="0" xfId="0" applyFont="1" applyFill="1" applyAlignment="1" applyProtection="1">
      <alignment horizontal="center"/>
      <protection locked="0"/>
    </xf>
    <xf numFmtId="0" fontId="65" fillId="11" borderId="0" xfId="1" applyNumberFormat="1" applyFont="1" applyFill="1" applyBorder="1" applyAlignment="1" applyProtection="1">
      <alignment horizontal="center" vertical="center"/>
      <protection locked="0"/>
    </xf>
    <xf numFmtId="0" fontId="79" fillId="11" borderId="0" xfId="0" applyFont="1" applyFill="1" applyAlignment="1" applyProtection="1">
      <alignment vertical="center"/>
      <protection locked="0"/>
    </xf>
    <xf numFmtId="43" fontId="79" fillId="11" borderId="0" xfId="1" applyFont="1" applyFill="1" applyBorder="1" applyAlignment="1" applyProtection="1">
      <alignment vertical="center"/>
      <protection locked="0"/>
    </xf>
    <xf numFmtId="0" fontId="79" fillId="11" borderId="0" xfId="0" applyFont="1" applyFill="1" applyProtection="1">
      <protection locked="0"/>
    </xf>
    <xf numFmtId="43" fontId="79" fillId="11" borderId="0" xfId="0" applyNumberFormat="1" applyFont="1" applyFill="1" applyProtection="1">
      <protection locked="0"/>
    </xf>
    <xf numFmtId="43" fontId="79" fillId="11" borderId="0" xfId="0" applyNumberFormat="1" applyFont="1" applyFill="1" applyAlignment="1" applyProtection="1">
      <alignment horizontal="center"/>
      <protection locked="0"/>
    </xf>
    <xf numFmtId="43" fontId="85" fillId="11" borderId="17" xfId="1" applyFont="1" applyFill="1" applyBorder="1" applyAlignment="1" applyProtection="1">
      <alignment horizontal="center"/>
      <protection locked="0"/>
    </xf>
    <xf numFmtId="43" fontId="85" fillId="11" borderId="0" xfId="1" applyFont="1" applyFill="1" applyAlignment="1" applyProtection="1">
      <alignment horizontal="center"/>
      <protection locked="0"/>
    </xf>
    <xf numFmtId="43" fontId="95" fillId="11" borderId="0" xfId="1" applyFont="1" applyFill="1" applyAlignment="1" applyProtection="1">
      <alignment horizontal="center"/>
      <protection locked="0"/>
    </xf>
    <xf numFmtId="43" fontId="95" fillId="11" borderId="0" xfId="1" applyFont="1" applyFill="1" applyAlignment="1" applyProtection="1">
      <alignment horizontal="center" vertical="center"/>
      <protection locked="0"/>
    </xf>
    <xf numFmtId="43" fontId="70" fillId="24" borderId="129" xfId="1" applyFont="1" applyFill="1" applyBorder="1" applyAlignment="1" applyProtection="1">
      <alignment vertical="center"/>
      <protection locked="0"/>
    </xf>
    <xf numFmtId="43" fontId="76" fillId="11" borderId="0" xfId="1" applyFont="1" applyFill="1" applyBorder="1" applyAlignment="1" applyProtection="1">
      <alignment horizontal="left"/>
      <protection locked="0"/>
    </xf>
    <xf numFmtId="43" fontId="96" fillId="11" borderId="0" xfId="1" applyFont="1" applyFill="1" applyBorder="1" applyAlignment="1" applyProtection="1">
      <alignment vertical="center"/>
      <protection locked="0"/>
    </xf>
    <xf numFmtId="43" fontId="97" fillId="11" borderId="0" xfId="1" applyFont="1" applyFill="1" applyAlignment="1" applyProtection="1">
      <alignment horizontal="center"/>
      <protection locked="0"/>
    </xf>
    <xf numFmtId="43" fontId="98" fillId="11" borderId="0" xfId="1" applyFont="1" applyFill="1" applyAlignment="1" applyProtection="1">
      <alignment horizontal="center"/>
      <protection locked="0"/>
    </xf>
    <xf numFmtId="43" fontId="97" fillId="11" borderId="0" xfId="1" applyFont="1" applyFill="1" applyAlignment="1" applyProtection="1">
      <alignment horizontal="center" vertical="center"/>
      <protection locked="0"/>
    </xf>
    <xf numFmtId="43" fontId="98" fillId="11" borderId="0" xfId="1" applyFont="1" applyFill="1" applyAlignment="1" applyProtection="1">
      <alignment horizontal="center" vertical="center"/>
      <protection locked="0"/>
    </xf>
    <xf numFmtId="43" fontId="77" fillId="36" borderId="120" xfId="1" applyFont="1" applyFill="1" applyBorder="1" applyAlignment="1" applyProtection="1">
      <alignment horizontal="center" vertical="center"/>
      <protection locked="0"/>
    </xf>
    <xf numFmtId="43" fontId="77" fillId="36" borderId="0" xfId="1" applyFont="1" applyFill="1" applyBorder="1" applyAlignment="1" applyProtection="1">
      <alignment horizontal="center" vertical="center"/>
      <protection locked="0"/>
    </xf>
    <xf numFmtId="43" fontId="77" fillId="36" borderId="39" xfId="1" applyFont="1" applyFill="1" applyBorder="1" applyAlignment="1" applyProtection="1">
      <alignment horizontal="center" vertical="center"/>
      <protection locked="0"/>
    </xf>
    <xf numFmtId="43" fontId="77" fillId="35" borderId="0" xfId="1" applyFont="1" applyFill="1" applyBorder="1" applyAlignment="1" applyProtection="1">
      <alignment horizontal="center" vertical="center"/>
      <protection locked="0"/>
    </xf>
    <xf numFmtId="43" fontId="77" fillId="35" borderId="39" xfId="1" applyFont="1" applyFill="1" applyBorder="1" applyAlignment="1" applyProtection="1">
      <alignment horizontal="center" vertical="center"/>
      <protection locked="0"/>
    </xf>
    <xf numFmtId="0" fontId="88" fillId="11" borderId="0" xfId="3" applyFont="1" applyFill="1" applyBorder="1" applyAlignment="1" applyProtection="1">
      <alignment horizontal="left"/>
      <protection locked="0"/>
    </xf>
    <xf numFmtId="43" fontId="86" fillId="42" borderId="124" xfId="1" applyFont="1" applyFill="1" applyBorder="1" applyAlignment="1" applyProtection="1">
      <alignment horizontal="center" vertical="center"/>
      <protection locked="0"/>
    </xf>
    <xf numFmtId="43" fontId="86" fillId="42" borderId="125" xfId="1" applyFont="1" applyFill="1" applyBorder="1" applyAlignment="1" applyProtection="1">
      <alignment horizontal="center" vertical="center"/>
      <protection locked="0"/>
    </xf>
    <xf numFmtId="43" fontId="86" fillId="42" borderId="50" xfId="1" applyFont="1" applyFill="1" applyBorder="1" applyAlignment="1" applyProtection="1">
      <alignment horizontal="center" vertical="center"/>
      <protection locked="0"/>
    </xf>
    <xf numFmtId="43" fontId="77" fillId="35" borderId="93" xfId="1" applyFont="1" applyFill="1" applyBorder="1" applyAlignment="1" applyProtection="1">
      <alignment horizontal="center" vertical="center"/>
      <protection locked="0"/>
    </xf>
    <xf numFmtId="43" fontId="77" fillId="35" borderId="49" xfId="1" applyFont="1" applyFill="1" applyBorder="1" applyAlignment="1" applyProtection="1">
      <alignment horizontal="center" vertical="center"/>
      <protection locked="0"/>
    </xf>
    <xf numFmtId="43" fontId="77" fillId="36" borderId="77" xfId="1" applyFont="1" applyFill="1" applyBorder="1" applyAlignment="1" applyProtection="1">
      <alignment horizontal="center" vertical="center"/>
      <protection locked="0"/>
    </xf>
    <xf numFmtId="43" fontId="77" fillId="36" borderId="93" xfId="1" applyFont="1" applyFill="1" applyBorder="1" applyAlignment="1" applyProtection="1">
      <alignment horizontal="center" vertical="center"/>
      <protection locked="0"/>
    </xf>
    <xf numFmtId="43" fontId="77" fillId="36" borderId="49" xfId="1" applyFont="1" applyFill="1" applyBorder="1" applyAlignment="1" applyProtection="1">
      <alignment horizontal="center" vertical="center"/>
      <protection locked="0"/>
    </xf>
    <xf numFmtId="43" fontId="94" fillId="42" borderId="77" xfId="1" applyFont="1" applyFill="1" applyBorder="1" applyAlignment="1" applyProtection="1">
      <alignment horizontal="center" vertical="center"/>
      <protection locked="0"/>
    </xf>
    <xf numFmtId="43" fontId="94" fillId="42" borderId="93" xfId="1" applyFont="1" applyFill="1" applyBorder="1" applyAlignment="1" applyProtection="1">
      <alignment horizontal="center" vertical="center"/>
      <protection locked="0"/>
    </xf>
    <xf numFmtId="43" fontId="94" fillId="42" borderId="49" xfId="1" applyFont="1" applyFill="1" applyBorder="1" applyAlignment="1" applyProtection="1">
      <alignment horizontal="center" vertical="center"/>
      <protection locked="0"/>
    </xf>
    <xf numFmtId="0" fontId="8" fillId="27" borderId="77" xfId="12" applyFont="1" applyFill="1" applyBorder="1" applyAlignment="1">
      <alignment horizontal="center" vertical="center"/>
    </xf>
    <xf numFmtId="0" fontId="8" fillId="27" borderId="93" xfId="12" applyFont="1" applyFill="1" applyBorder="1" applyAlignment="1">
      <alignment horizontal="center" vertical="center"/>
    </xf>
    <xf numFmtId="0" fontId="8" fillId="27" borderId="49" xfId="12" applyFont="1" applyFill="1" applyBorder="1" applyAlignment="1">
      <alignment horizontal="center" vertical="center"/>
    </xf>
    <xf numFmtId="0" fontId="8" fillId="27" borderId="94" xfId="12" applyFont="1" applyFill="1" applyBorder="1" applyAlignment="1">
      <alignment horizontal="center" vertical="center"/>
    </xf>
    <xf numFmtId="0" fontId="8" fillId="27" borderId="17" xfId="12" applyFont="1" applyFill="1" applyBorder="1" applyAlignment="1">
      <alignment horizontal="center" vertical="center"/>
    </xf>
    <xf numFmtId="0" fontId="8" fillId="27" borderId="95" xfId="12" applyFont="1" applyFill="1" applyBorder="1" applyAlignment="1">
      <alignment horizontal="center" vertical="center"/>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2">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solid">
          <fgColor indexed="64"/>
          <bgColor theme="0" tint="-4.9989318521683403E-2"/>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FDD8C7"/>
      <color rgb="FFFDE8DB"/>
      <color rgb="FFFCDCF7"/>
      <color rgb="FFE93F11"/>
      <color rgb="FFFDDBFD"/>
      <color rgb="FFFCDCEE"/>
      <color rgb="FFDACCFC"/>
      <color rgb="FFF9FFDD"/>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544456</xdr:colOff>
      <xdr:row>62</xdr:row>
      <xdr:rowOff>147581</xdr:rowOff>
    </xdr:from>
    <xdr:to>
      <xdr:col>3</xdr:col>
      <xdr:colOff>1624068</xdr:colOff>
      <xdr:row>63</xdr:row>
      <xdr:rowOff>110154</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897691" y="15085022"/>
          <a:ext cx="2962201" cy="130661"/>
        </a:xfrm>
        <a:prstGeom prst="rect">
          <a:avLst/>
        </a:prstGeom>
        <a:noFill/>
        <a:ln>
          <a:noFill/>
        </a:ln>
        <a:effectLst/>
      </xdr:spPr>
      <xdr:txBody>
        <a:bodyPr rot="0" vert="horz" wrap="square" lIns="91440" tIns="45720" rIns="91440" bIns="45720" anchor="t" anchorCtr="0">
          <a:noAutofit/>
        </a:bodyPr>
        <a:lstStyle/>
        <a:p>
          <a:pPr algn="ctr"/>
          <a:r>
            <a:rPr lang="th-TH" sz="1000" b="1">
              <a:effectLst/>
              <a:latin typeface="Angsana New" panose="02020603050405020304" pitchFamily="18" charset="-34"/>
              <a:ea typeface="Times New Roman" panose="02020603050405020304" pitchFamily="18" charset="0"/>
              <a:cs typeface="+mn-cs"/>
            </a:rPr>
            <a:t>ลงชื่อ ..............................................</a:t>
          </a:r>
          <a:endParaRPr lang="en-US" sz="1000">
            <a:effectLst/>
            <a:latin typeface="Angsana New" panose="02020603050405020304" pitchFamily="18" charset="-34"/>
            <a:ea typeface="Times New Roman" panose="02020603050405020304" pitchFamily="18" charset="0"/>
            <a:cs typeface="+mn-cs"/>
          </a:endParaRPr>
        </a:p>
        <a:p>
          <a:pPr algn="ctr"/>
          <a:r>
            <a:rPr lang="th-TH" sz="1000" b="1">
              <a:effectLst/>
              <a:latin typeface="Angsana New" panose="02020603050405020304" pitchFamily="18" charset="-34"/>
              <a:ea typeface="Times New Roman" panose="02020603050405020304" pitchFamily="18" charset="0"/>
              <a:cs typeface="+mn-cs"/>
            </a:rPr>
            <a:t>(คุณจินตนา</a:t>
          </a:r>
          <a:r>
            <a:rPr lang="th-TH" sz="1000" b="1" baseline="0">
              <a:effectLst/>
              <a:latin typeface="Angsana New" panose="02020603050405020304" pitchFamily="18" charset="-34"/>
              <a:ea typeface="Times New Roman" panose="02020603050405020304" pitchFamily="18" charset="0"/>
              <a:cs typeface="+mn-cs"/>
            </a:rPr>
            <a:t> อ้อยหวาน</a:t>
          </a:r>
          <a:r>
            <a:rPr lang="th-TH" sz="1000" b="1">
              <a:effectLst/>
              <a:latin typeface="Angsana New" panose="02020603050405020304" pitchFamily="18" charset="-34"/>
              <a:ea typeface="Times New Roman" panose="02020603050405020304" pitchFamily="18" charset="0"/>
              <a:cs typeface="+mn-cs"/>
            </a:rPr>
            <a:t>)</a:t>
          </a:r>
        </a:p>
        <a:p>
          <a:pPr algn="ctr"/>
          <a:r>
            <a:rPr lang="en-US" sz="1000" b="1">
              <a:effectLst/>
              <a:latin typeface="Angsana New" panose="02020603050405020304" pitchFamily="18" charset="-34"/>
              <a:ea typeface="Times New Roman" panose="02020603050405020304" pitchFamily="18" charset="0"/>
              <a:cs typeface="+mn-cs"/>
            </a:rPr>
            <a:t>Assistant Sales Manager</a:t>
          </a:r>
          <a:endParaRPr lang="en-US" sz="900" b="1">
            <a:effectLst/>
            <a:latin typeface="Angsana New" panose="02020603050405020304" pitchFamily="18" charset="-34"/>
            <a:ea typeface="Times New Roman" panose="02020603050405020304" pitchFamily="18" charset="0"/>
            <a:cs typeface="+mn-cs"/>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866039</xdr:colOff>
      <xdr:row>75</xdr:row>
      <xdr:rowOff>207819</xdr:rowOff>
    </xdr:from>
    <xdr:to>
      <xdr:col>13</xdr:col>
      <xdr:colOff>1046537</xdr:colOff>
      <xdr:row>86</xdr:row>
      <xdr:rowOff>54899</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506330" y="21723928"/>
          <a:ext cx="5850817" cy="2887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146" totalsRowShown="0" headerRowDxfId="111" dataDxfId="110" totalsRowDxfId="108" tableBorderDxfId="109" totalsRowBorderDxfId="107">
  <autoFilter ref="A6:AN146" xr:uid="{3C878C68-A372-446C-8256-BD036B6D96E7}"/>
  <tableColumns count="40">
    <tableColumn id="1" xr3:uid="{7A68EB0F-4EB7-4EA0-B847-CDCEDE1995D9}" name="ลำดับ" dataDxfId="106" totalsRowDxfId="105"/>
    <tableColumn id="73" xr3:uid="{CFBDDEE9-AEFE-4C43-B752-DE523EEED93B}" name="เดือนที่ปิดการขาย" totalsRowDxfId="104"/>
    <tableColumn id="7" xr3:uid="{8F6F8C50-9D55-461F-83AF-B2E29A90BB45}" name="รหัสลูกค้า" dataDxfId="103" totalsRowDxfId="102" dataCellStyle="Total"/>
    <tableColumn id="2" xr3:uid="{E91B7877-DC71-4CB9-BA7F-36CA618C37EA}" name="ชื่อเจ้าของโครงการ" dataDxfId="101" totalsRowDxfId="100"/>
    <tableColumn id="10" xr3:uid="{19271DD2-0A59-4759-AE5D-1AB63890B014}" name="Sales" dataDxfId="99" dataCellStyle="Total"/>
    <tableColumn id="5" xr3:uid="{A5848258-9033-4D9F-8296-8ECDB5D9D258}" name="บริการประเภท" dataDxfId="98" totalsRowDxfId="97" dataCellStyle="Total"/>
    <tableColumn id="24" xr3:uid="{4787A654-053B-4970-BE8C-94B3928D6967}" name="ระยะเวลาสัญญา_x000a_(เดือน)" dataDxfId="96" totalsRowDxfId="95"/>
    <tableColumn id="23" xr3:uid="{71B0D79B-1882-4676-A4CD-587CCE651620}" name="% ค่าคอมค่าบริการ_x000a_(อัตราก้าวหน้า)" dataDxfId="94"/>
    <tableColumn id="20" xr3:uid="{48B19DD3-4849-4286-91E3-FE1F20647640}" name="เดือนที่เริ่มเก็บ_x000a_ค่าบริการ" dataDxfId="93" totalsRowDxfId="92"/>
    <tableColumn id="19" xr3:uid="{4D64D369-8CC0-48C9-8408-2623DCFB69A3}" name="ค่าบริการเฉลี่ยต่อเดือน" dataDxfId="91" totalsRowDxfId="90"/>
    <tableColumn id="12" xr3:uid="{9ABEF3BA-F915-4DAA-B94E-07129FBFFD75}" name="ต้นทุนช่องรายการ_x000a_(ถ้ามี)" totalsRowDxfId="89"/>
    <tableColumn id="18" xr3:uid="{7B85F650-D5D4-407F-894D-50A267647FC2}" name="หัก ณ ที่จ่าย_x000a_(ค่าบริการ)" dataDxfId="88" totalsRowDxfId="87"/>
    <tableColumn id="27" xr3:uid="{8F50D093-5CBA-4540-8D5B-69F0ABCFDE07}" name="มูลค่าหัก 3%" dataDxfId="86" totalsRowDxfId="85"/>
    <tableColumn id="25" xr3:uid="{448C2BE4-700B-472E-8A90-659E7D16D1C0}" name="ค่าบริการเฉลียรายเดือนตาม Package_x000a_(เรียกเก็บสุทธิ)" dataDxfId="84" totalsRowDxfId="83" dataCellStyle="Comma"/>
    <tableColumn id="28" xr3:uid="{49720FE6-4F55-473F-8AC8-5EFA4FCF11EF}" name="Total_x000a_รายการเบิก_x000a_คอมขาย_x000a_(1)" dataDxfId="82" totalsRowDxfId="81"/>
    <tableColumn id="9" xr3:uid="{E8C32789-49FE-47D8-9CC6-E6DC2865932C}" name="แบ่งจ่าย/งวด_x000a_(ตามปีสัญญา)" dataDxfId="80" totalsRowDxfId="79" dataCellStyle="Comma"/>
    <tableColumn id="69" xr3:uid="{434CB265-73C4-4296-8C7D-4E4D6F0BEB3B}" name="สั่งจ่ายปีที่1" dataCellStyle="Comma"/>
    <tableColumn id="71" xr3:uid="{9C473DAB-D0BA-4D49-A941-DA0F2F97426E}" name="สั่งจ่ายปีที่2" totalsRowDxfId="78" dataCellStyle="Comma"/>
    <tableColumn id="70" xr3:uid="{7BD1427E-441B-4E98-8B81-1715D1FCE12E}" name="สั่งจ่ายปีที่3" totalsRowDxfId="77" dataCellStyle="Comma"/>
    <tableColumn id="68" xr3:uid="{F008EFEE-A126-4E8D-A8DE-CE1F6C8B6919}" name="สั่งจ่ายปีที่4" totalsRowDxfId="76" dataCellStyle="Comma"/>
    <tableColumn id="67" xr3:uid="{E9DBF058-50C0-4D43-AAD1-EE0273CA0BA4}" name="สั่งจ่าย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_x000a_(1)+(2)+(3)"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72" xr3:uid="{66942163-83E4-41B2-A253-D464F2999214}" name="หมายเหตุ"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2" sqref="C12"/>
    </sheetView>
  </sheetViews>
  <sheetFormatPr defaultRowHeight="13.2"/>
  <cols>
    <col min="1" max="1" width="8.88671875" style="336"/>
    <col min="2" max="2" width="26.44140625" bestFit="1" customWidth="1"/>
    <col min="3" max="3" width="29.21875" bestFit="1" customWidth="1"/>
    <col min="6" max="6" width="10.88671875" customWidth="1"/>
  </cols>
  <sheetData>
    <row r="1" spans="1:7" ht="26.4">
      <c r="B1" s="341" t="s">
        <v>55</v>
      </c>
      <c r="C1" s="387" t="s">
        <v>48</v>
      </c>
      <c r="D1" s="402" t="s">
        <v>208</v>
      </c>
      <c r="F1" s="401" t="s">
        <v>188</v>
      </c>
      <c r="G1" s="401" t="s">
        <v>221</v>
      </c>
    </row>
    <row r="2" spans="1:7" ht="13.8">
      <c r="A2" s="336" t="s">
        <v>153</v>
      </c>
      <c r="B2" s="337" t="s">
        <v>70</v>
      </c>
      <c r="C2" s="388" t="s">
        <v>45</v>
      </c>
      <c r="D2" s="338" t="s">
        <v>209</v>
      </c>
      <c r="F2" s="399">
        <v>45566</v>
      </c>
      <c r="G2" s="400">
        <v>6.6000000000000003E-2</v>
      </c>
    </row>
    <row r="3" spans="1:7" ht="13.8">
      <c r="A3" s="336" t="s">
        <v>153</v>
      </c>
      <c r="B3" s="337" t="s">
        <v>71</v>
      </c>
      <c r="C3" s="388" t="s">
        <v>46</v>
      </c>
      <c r="D3" s="337" t="s">
        <v>210</v>
      </c>
      <c r="F3" s="399">
        <v>45597</v>
      </c>
      <c r="G3" s="339"/>
    </row>
    <row r="4" spans="1:7" ht="13.8">
      <c r="A4" s="336" t="s">
        <v>153</v>
      </c>
      <c r="B4" s="337" t="s">
        <v>73</v>
      </c>
      <c r="C4" s="388" t="s">
        <v>233</v>
      </c>
      <c r="F4" s="399">
        <v>45627</v>
      </c>
      <c r="G4" s="339"/>
    </row>
    <row r="5" spans="1:7" ht="13.8">
      <c r="A5" s="336" t="s">
        <v>17</v>
      </c>
      <c r="B5" s="337" t="s">
        <v>74</v>
      </c>
      <c r="C5" s="388" t="s">
        <v>234</v>
      </c>
      <c r="F5" s="399">
        <v>45658</v>
      </c>
      <c r="G5" s="339"/>
    </row>
    <row r="6" spans="1:7" ht="13.8">
      <c r="A6" s="336" t="s">
        <v>17</v>
      </c>
      <c r="B6" s="337" t="s">
        <v>75</v>
      </c>
      <c r="C6" s="338" t="s">
        <v>154</v>
      </c>
      <c r="F6" s="399">
        <v>45689</v>
      </c>
      <c r="G6" s="339"/>
    </row>
    <row r="7" spans="1:7" ht="13.8">
      <c r="A7" s="336" t="s">
        <v>17</v>
      </c>
      <c r="B7" s="337" t="s">
        <v>152</v>
      </c>
      <c r="C7" s="338" t="s">
        <v>155</v>
      </c>
      <c r="F7" s="399">
        <v>45717</v>
      </c>
      <c r="G7" s="339"/>
    </row>
    <row r="8" spans="1:7" ht="13.8">
      <c r="A8" s="336" t="s">
        <v>17</v>
      </c>
      <c r="B8" s="337" t="s">
        <v>130</v>
      </c>
      <c r="C8" s="338" t="s">
        <v>59</v>
      </c>
      <c r="F8" s="399">
        <v>45748</v>
      </c>
      <c r="G8" s="339"/>
    </row>
    <row r="9" spans="1:7" ht="13.8">
      <c r="A9" s="336" t="s">
        <v>17</v>
      </c>
      <c r="B9" s="337" t="s">
        <v>151</v>
      </c>
      <c r="C9" s="338" t="s">
        <v>54</v>
      </c>
      <c r="F9" s="399">
        <v>45778</v>
      </c>
      <c r="G9" s="339"/>
    </row>
    <row r="10" spans="1:7" ht="13.8">
      <c r="A10" s="336" t="s">
        <v>78</v>
      </c>
      <c r="B10" s="337" t="s">
        <v>72</v>
      </c>
      <c r="C10" s="338" t="s">
        <v>49</v>
      </c>
      <c r="F10" s="399">
        <v>45809</v>
      </c>
      <c r="G10" s="339"/>
    </row>
    <row r="11" spans="1:7" ht="13.8">
      <c r="A11" s="336" t="s">
        <v>78</v>
      </c>
      <c r="B11" s="339" t="s">
        <v>68</v>
      </c>
      <c r="C11" s="338" t="s">
        <v>50</v>
      </c>
      <c r="F11" s="399">
        <v>45839</v>
      </c>
      <c r="G11" s="339"/>
    </row>
    <row r="12" spans="1:7" ht="13.8">
      <c r="A12" s="336" t="s">
        <v>78</v>
      </c>
      <c r="B12" s="337" t="s">
        <v>67</v>
      </c>
      <c r="C12" s="338" t="s">
        <v>51</v>
      </c>
    </row>
    <row r="13" spans="1:7" ht="13.8">
      <c r="A13" s="336" t="s">
        <v>78</v>
      </c>
      <c r="B13" s="337" t="s">
        <v>69</v>
      </c>
      <c r="C13" s="338" t="s">
        <v>52</v>
      </c>
    </row>
    <row r="14" spans="1:7" ht="13.8">
      <c r="A14" s="336" t="s">
        <v>78</v>
      </c>
      <c r="B14" s="337" t="s">
        <v>90</v>
      </c>
      <c r="C14" s="338" t="s">
        <v>47</v>
      </c>
    </row>
    <row r="15" spans="1:7" ht="13.8">
      <c r="B15" s="339" t="s">
        <v>21</v>
      </c>
      <c r="C15" s="338" t="s">
        <v>53</v>
      </c>
    </row>
    <row r="16" spans="1:7" ht="13.8">
      <c r="B16" s="339" t="s">
        <v>56</v>
      </c>
      <c r="C16" s="338" t="s">
        <v>96</v>
      </c>
    </row>
    <row r="17" spans="2:3" ht="13.8">
      <c r="B17" s="339" t="s">
        <v>18</v>
      </c>
      <c r="C17" s="113"/>
    </row>
    <row r="18" spans="2:3">
      <c r="B18" s="3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P155"/>
  <sheetViews>
    <sheetView tabSelected="1" zoomScale="55" zoomScaleNormal="55" workbookViewId="0">
      <pane xSplit="6" ySplit="6" topLeftCell="G37" activePane="bottomRight" state="frozen"/>
      <selection pane="topRight" activeCell="G1" sqref="G1"/>
      <selection pane="bottomLeft" activeCell="A7" sqref="A7"/>
      <selection pane="bottomRight" activeCell="G85" sqref="G85"/>
    </sheetView>
  </sheetViews>
  <sheetFormatPr defaultColWidth="0" defaultRowHeight="0" customHeight="1" zeroHeight="1"/>
  <cols>
    <col min="1" max="1" width="8.109375" style="715" customWidth="1"/>
    <col min="2" max="2" width="13.21875" style="714" customWidth="1"/>
    <col min="3" max="3" width="19.33203125" style="715" bestFit="1" customWidth="1"/>
    <col min="4" max="4" width="46.77734375" style="782" customWidth="1"/>
    <col min="5" max="5" width="21" style="778" customWidth="1"/>
    <col min="6" max="6" width="16.6640625" style="714" customWidth="1"/>
    <col min="7" max="7" width="12.109375" style="716" customWidth="1"/>
    <col min="8" max="8" width="17" style="650" customWidth="1"/>
    <col min="9" max="9" width="14.77734375" style="607" customWidth="1"/>
    <col min="10" max="10" width="19.5546875" style="545" customWidth="1"/>
    <col min="11" max="11" width="14.6640625" style="545" customWidth="1"/>
    <col min="12" max="12" width="11.77734375" style="717" customWidth="1"/>
    <col min="13" max="13" width="10.21875" style="717" customWidth="1"/>
    <col min="14" max="14" width="19.5546875" style="545" customWidth="1"/>
    <col min="15" max="15" width="23.33203125" style="718" customWidth="1"/>
    <col min="16" max="16" width="10.6640625" style="539" customWidth="1"/>
    <col min="17" max="17" width="22.77734375" style="540" customWidth="1"/>
    <col min="18" max="18" width="20.5546875" style="540" customWidth="1"/>
    <col min="19" max="21" width="18.77734375" style="540" customWidth="1"/>
    <col min="22" max="22" width="23.88671875" style="156" customWidth="1"/>
    <col min="23" max="23" width="10.33203125" style="414" customWidth="1"/>
    <col min="24" max="24" width="13.44140625" style="414" customWidth="1"/>
    <col min="25" max="25" width="20" style="156" customWidth="1"/>
    <col min="26" max="26" width="23.33203125" style="156" customWidth="1"/>
    <col min="27" max="27" width="21.6640625" style="414" customWidth="1"/>
    <col min="28" max="29" width="17.33203125" style="591" customWidth="1"/>
    <col min="30" max="30" width="22.6640625" style="590" customWidth="1"/>
    <col min="31" max="31" width="22.5546875" style="332" customWidth="1"/>
    <col min="32" max="32" width="11.21875" style="417" customWidth="1"/>
    <col min="33" max="33" width="12.6640625" style="417" customWidth="1"/>
    <col min="34" max="34" width="20.77734375" style="157" customWidth="1"/>
    <col min="35" max="35" width="20.44140625" style="332" customWidth="1"/>
    <col min="36" max="36" width="20.109375" style="542" customWidth="1"/>
    <col min="37" max="37" width="22.21875" style="591" bestFit="1" customWidth="1"/>
    <col min="38" max="38" width="22" style="591" customWidth="1"/>
    <col min="39" max="39" width="17" style="543" customWidth="1"/>
    <col min="40" max="40" width="30.21875" style="592" customWidth="1"/>
    <col min="41" max="41" width="8.88671875" style="528" customWidth="1"/>
    <col min="42" max="42" width="16.6640625" style="528" customWidth="1"/>
    <col min="43" max="43" width="17.44140625" style="528" customWidth="1"/>
    <col min="44" max="45" width="0" style="528" hidden="1"/>
    <col min="46" max="48" width="15.33203125" style="528" customWidth="1"/>
    <col min="49" max="49" width="17" style="528" customWidth="1"/>
    <col min="50" max="50" width="0" style="528" hidden="1"/>
    <col min="51" max="52" width="15.5546875" style="528" customWidth="1"/>
    <col min="53" max="53" width="13.6640625" style="528" customWidth="1"/>
    <col min="54" max="54" width="9" style="528" customWidth="1"/>
    <col min="55" max="55" width="49.88671875" style="528" customWidth="1"/>
    <col min="56" max="56" width="0" style="528" hidden="1"/>
    <col min="57" max="58" width="15.88671875" style="528" customWidth="1"/>
    <col min="59" max="59" width="14.5546875" style="528" customWidth="1"/>
    <col min="60" max="60" width="16.33203125" style="528" customWidth="1"/>
    <col min="61" max="61" width="18.109375" style="528" customWidth="1"/>
    <col min="62" max="62" width="14.109375" style="528" customWidth="1"/>
    <col min="63" max="289" width="0" style="528" hidden="1"/>
    <col min="290" max="290" width="7.5546875" style="528" customWidth="1"/>
    <col min="291" max="291" width="36.77734375" style="528" customWidth="1"/>
    <col min="292" max="293" width="0" style="528" hidden="1"/>
    <col min="294" max="294" width="16.6640625" style="528" customWidth="1"/>
    <col min="295" max="295" width="17.33203125" style="528" customWidth="1"/>
    <col min="296" max="296" width="15.5546875" style="528" customWidth="1"/>
    <col min="297" max="297" width="0" style="528" hidden="1"/>
    <col min="298" max="298" width="16.6640625" style="528" customWidth="1"/>
    <col min="299" max="299" width="17.44140625" style="528" customWidth="1"/>
    <col min="300" max="301" width="0" style="528" hidden="1"/>
    <col min="302" max="304" width="15.33203125" style="528" customWidth="1"/>
    <col min="305" max="305" width="17" style="528" customWidth="1"/>
    <col min="306" max="306" width="0" style="528" hidden="1"/>
    <col min="307" max="308" width="15.5546875" style="528" customWidth="1"/>
    <col min="309" max="309" width="13.6640625" style="528" customWidth="1"/>
    <col min="310" max="310" width="9" style="528" customWidth="1"/>
    <col min="311" max="311" width="49.88671875" style="528" customWidth="1"/>
    <col min="312" max="312" width="0" style="528" hidden="1"/>
    <col min="313" max="314" width="15.88671875" style="528" customWidth="1"/>
    <col min="315" max="315" width="14.5546875" style="528" customWidth="1"/>
    <col min="316" max="316" width="16.33203125" style="528" customWidth="1"/>
    <col min="317" max="317" width="18.109375" style="528" customWidth="1"/>
    <col min="318" max="318" width="14.109375" style="528" customWidth="1"/>
    <col min="319" max="545" width="0" style="528" hidden="1"/>
    <col min="546" max="546" width="7.5546875" style="528" customWidth="1"/>
    <col min="547" max="547" width="36.77734375" style="528" customWidth="1"/>
    <col min="548" max="549" width="0" style="528" hidden="1"/>
    <col min="550" max="550" width="16.6640625" style="528" customWidth="1"/>
    <col min="551" max="551" width="17.33203125" style="528" customWidth="1"/>
    <col min="552" max="552" width="15.5546875" style="528" customWidth="1"/>
    <col min="553" max="553" width="0" style="528" hidden="1"/>
    <col min="554" max="554" width="16.6640625" style="528" customWidth="1"/>
    <col min="555" max="555" width="17.44140625" style="528" customWidth="1"/>
    <col min="556" max="557" width="0" style="528" hidden="1"/>
    <col min="558" max="560" width="15.33203125" style="528" customWidth="1"/>
    <col min="561" max="561" width="17" style="528" customWidth="1"/>
    <col min="562" max="562" width="0" style="528" hidden="1"/>
    <col min="563" max="564" width="15.5546875" style="528" customWidth="1"/>
    <col min="565" max="565" width="13.6640625" style="528" customWidth="1"/>
    <col min="566" max="566" width="9" style="528" customWidth="1"/>
    <col min="567" max="567" width="49.88671875" style="528" customWidth="1"/>
    <col min="568" max="568" width="0" style="528" hidden="1"/>
    <col min="569" max="570" width="15.88671875" style="528" customWidth="1"/>
    <col min="571" max="571" width="14.5546875" style="528" customWidth="1"/>
    <col min="572" max="572" width="16.33203125" style="528" customWidth="1"/>
    <col min="573" max="573" width="18.109375" style="528" customWidth="1"/>
    <col min="574" max="574" width="14.109375" style="528" customWidth="1"/>
    <col min="575" max="801" width="0" style="528" hidden="1"/>
    <col min="802" max="802" width="7.5546875" style="528" customWidth="1"/>
    <col min="803" max="803" width="36.77734375" style="528" customWidth="1"/>
    <col min="804" max="805" width="0" style="528" hidden="1"/>
    <col min="806" max="806" width="16.6640625" style="528" customWidth="1"/>
    <col min="807" max="807" width="17.33203125" style="528" customWidth="1"/>
    <col min="808" max="808" width="15.5546875" style="528" customWidth="1"/>
    <col min="809" max="809" width="0" style="528" hidden="1"/>
    <col min="810" max="810" width="16.6640625" style="528" customWidth="1"/>
    <col min="811" max="811" width="17.44140625" style="528" customWidth="1"/>
    <col min="812" max="813" width="0" style="528" hidden="1"/>
    <col min="814" max="816" width="15.33203125" style="528" customWidth="1"/>
    <col min="817" max="817" width="17" style="528" customWidth="1"/>
    <col min="818" max="818" width="0" style="528" hidden="1"/>
    <col min="819" max="820" width="15.5546875" style="528" customWidth="1"/>
    <col min="821" max="821" width="13.6640625" style="528" customWidth="1"/>
    <col min="822" max="822" width="9" style="528" customWidth="1"/>
    <col min="823" max="823" width="49.88671875" style="528" customWidth="1"/>
    <col min="824" max="824" width="0" style="528" hidden="1"/>
    <col min="825" max="826" width="15.88671875" style="528" customWidth="1"/>
    <col min="827" max="827" width="14.5546875" style="528" customWidth="1"/>
    <col min="828" max="828" width="16.33203125" style="528" customWidth="1"/>
    <col min="829" max="829" width="18.109375" style="528" customWidth="1"/>
    <col min="830" max="830" width="14.109375" style="528" customWidth="1"/>
    <col min="831" max="1057" width="0" style="528" hidden="1"/>
    <col min="1058" max="1058" width="7.5546875" style="528" customWidth="1"/>
    <col min="1059" max="1059" width="36.77734375" style="528" customWidth="1"/>
    <col min="1060" max="1061" width="0" style="528" hidden="1"/>
    <col min="1062" max="1062" width="16.6640625" style="528" customWidth="1"/>
    <col min="1063" max="1063" width="17.33203125" style="528" customWidth="1"/>
    <col min="1064" max="1064" width="15.5546875" style="528" customWidth="1"/>
    <col min="1065" max="1065" width="0" style="528" hidden="1"/>
    <col min="1066" max="1066" width="16.6640625" style="528" customWidth="1"/>
    <col min="1067" max="1067" width="17.44140625" style="528" customWidth="1"/>
    <col min="1068" max="1069" width="0" style="528" hidden="1"/>
    <col min="1070" max="1072" width="15.33203125" style="528" customWidth="1"/>
    <col min="1073" max="1073" width="17" style="528" customWidth="1"/>
    <col min="1074" max="1074" width="0" style="528" hidden="1"/>
    <col min="1075" max="1076" width="15.5546875" style="528" customWidth="1"/>
    <col min="1077" max="1077" width="13.6640625" style="528" customWidth="1"/>
    <col min="1078" max="1078" width="9" style="528" customWidth="1"/>
    <col min="1079" max="1079" width="49.88671875" style="528" customWidth="1"/>
    <col min="1080" max="1080" width="0" style="528" hidden="1"/>
    <col min="1081" max="1082" width="15.88671875" style="528" customWidth="1"/>
    <col min="1083" max="1083" width="14.5546875" style="528" customWidth="1"/>
    <col min="1084" max="1084" width="16.33203125" style="528" customWidth="1"/>
    <col min="1085" max="1085" width="18.109375" style="528" customWidth="1"/>
    <col min="1086" max="1086" width="14.109375" style="528" customWidth="1"/>
    <col min="1087" max="1313" width="0" style="528" hidden="1"/>
    <col min="1314" max="1314" width="7.5546875" style="528" customWidth="1"/>
    <col min="1315" max="1315" width="36.77734375" style="528" customWidth="1"/>
    <col min="1316" max="1317" width="0" style="528" hidden="1"/>
    <col min="1318" max="1318" width="16.6640625" style="528" customWidth="1"/>
    <col min="1319" max="1319" width="17.33203125" style="528" customWidth="1"/>
    <col min="1320" max="1320" width="15.5546875" style="528" customWidth="1"/>
    <col min="1321" max="1321" width="0" style="528" hidden="1"/>
    <col min="1322" max="1322" width="16.6640625" style="528" customWidth="1"/>
    <col min="1323" max="1323" width="17.44140625" style="528" customWidth="1"/>
    <col min="1324" max="1325" width="0" style="528" hidden="1"/>
    <col min="1326" max="1328" width="15.33203125" style="528" customWidth="1"/>
    <col min="1329" max="1329" width="17" style="528" customWidth="1"/>
    <col min="1330" max="1330" width="0" style="528" hidden="1"/>
    <col min="1331" max="1332" width="15.5546875" style="528" customWidth="1"/>
    <col min="1333" max="1333" width="13.6640625" style="528" customWidth="1"/>
    <col min="1334" max="1334" width="9" style="528" customWidth="1"/>
    <col min="1335" max="1335" width="49.88671875" style="528" customWidth="1"/>
    <col min="1336" max="1336" width="0" style="528" hidden="1"/>
    <col min="1337" max="1338" width="15.88671875" style="528" customWidth="1"/>
    <col min="1339" max="1339" width="14.5546875" style="528" customWidth="1"/>
    <col min="1340" max="1340" width="16.33203125" style="528" customWidth="1"/>
    <col min="1341" max="1341" width="18.109375" style="528" customWidth="1"/>
    <col min="1342" max="1342" width="14.109375" style="528" customWidth="1"/>
    <col min="1343" max="1569" width="0" style="528" hidden="1"/>
    <col min="1570" max="1570" width="7.5546875" style="528" customWidth="1"/>
    <col min="1571" max="1571" width="36.77734375" style="528" customWidth="1"/>
    <col min="1572" max="1573" width="0" style="528" hidden="1"/>
    <col min="1574" max="1574" width="16.6640625" style="528" customWidth="1"/>
    <col min="1575" max="1575" width="17.33203125" style="528" customWidth="1"/>
    <col min="1576" max="1576" width="15.5546875" style="528" customWidth="1"/>
    <col min="1577" max="1577" width="0" style="528" hidden="1"/>
    <col min="1578" max="1578" width="16.6640625" style="528" customWidth="1"/>
    <col min="1579" max="1579" width="17.44140625" style="528" customWidth="1"/>
    <col min="1580" max="1581" width="0" style="528" hidden="1"/>
    <col min="1582" max="1584" width="15.33203125" style="528" customWidth="1"/>
    <col min="1585" max="1585" width="17" style="528" customWidth="1"/>
    <col min="1586" max="1586" width="0" style="528" hidden="1"/>
    <col min="1587" max="1588" width="15.5546875" style="528" customWidth="1"/>
    <col min="1589" max="1589" width="13.6640625" style="528" customWidth="1"/>
    <col min="1590" max="1590" width="9" style="528" customWidth="1"/>
    <col min="1591" max="1591" width="49.88671875" style="528" customWidth="1"/>
    <col min="1592" max="1592" width="0" style="528" hidden="1"/>
    <col min="1593" max="1594" width="15.88671875" style="528" customWidth="1"/>
    <col min="1595" max="1595" width="14.5546875" style="528" customWidth="1"/>
    <col min="1596" max="1596" width="16.33203125" style="528" customWidth="1"/>
    <col min="1597" max="1597" width="18.109375" style="528" customWidth="1"/>
    <col min="1598" max="1598" width="14.109375" style="528" customWidth="1"/>
    <col min="1599" max="1825" width="0" style="528" hidden="1"/>
    <col min="1826" max="1826" width="7.5546875" style="528" customWidth="1"/>
    <col min="1827" max="1827" width="36.77734375" style="528" customWidth="1"/>
    <col min="1828" max="1829" width="0" style="528" hidden="1"/>
    <col min="1830" max="1830" width="16.6640625" style="528" customWidth="1"/>
    <col min="1831" max="1831" width="17.33203125" style="528" customWidth="1"/>
    <col min="1832" max="1832" width="15.5546875" style="528" customWidth="1"/>
    <col min="1833" max="1833" width="0" style="528" hidden="1"/>
    <col min="1834" max="1834" width="16.6640625" style="528" customWidth="1"/>
    <col min="1835" max="1835" width="17.44140625" style="528" customWidth="1"/>
    <col min="1836" max="1837" width="0" style="528" hidden="1"/>
    <col min="1838" max="1840" width="15.33203125" style="528" customWidth="1"/>
    <col min="1841" max="1841" width="17" style="528" customWidth="1"/>
    <col min="1842" max="1842" width="0" style="528" hidden="1"/>
    <col min="1843" max="1844" width="15.5546875" style="528" customWidth="1"/>
    <col min="1845" max="1845" width="13.6640625" style="528" customWidth="1"/>
    <col min="1846" max="1846" width="9" style="528" customWidth="1"/>
    <col min="1847" max="1847" width="49.88671875" style="528" customWidth="1"/>
    <col min="1848" max="1848" width="0" style="528" hidden="1"/>
    <col min="1849" max="1850" width="15.88671875" style="528" customWidth="1"/>
    <col min="1851" max="1851" width="14.5546875" style="528" customWidth="1"/>
    <col min="1852" max="1852" width="16.33203125" style="528" customWidth="1"/>
    <col min="1853" max="1853" width="18.109375" style="528" customWidth="1"/>
    <col min="1854" max="1854" width="14.109375" style="528" customWidth="1"/>
    <col min="1855" max="2081" width="0" style="528" hidden="1"/>
    <col min="2082" max="2082" width="7.5546875" style="528" customWidth="1"/>
    <col min="2083" max="2083" width="36.77734375" style="528" customWidth="1"/>
    <col min="2084" max="2085" width="0" style="528" hidden="1"/>
    <col min="2086" max="2086" width="16.6640625" style="528" customWidth="1"/>
    <col min="2087" max="2087" width="17.33203125" style="528" customWidth="1"/>
    <col min="2088" max="2088" width="15.5546875" style="528" customWidth="1"/>
    <col min="2089" max="2089" width="0" style="528" hidden="1"/>
    <col min="2090" max="2090" width="16.6640625" style="528" customWidth="1"/>
    <col min="2091" max="2091" width="17.44140625" style="528" customWidth="1"/>
    <col min="2092" max="2093" width="0" style="528" hidden="1"/>
    <col min="2094" max="2096" width="15.33203125" style="528" customWidth="1"/>
    <col min="2097" max="2097" width="17" style="528" customWidth="1"/>
    <col min="2098" max="2098" width="0" style="528" hidden="1"/>
    <col min="2099" max="2100" width="15.5546875" style="528" customWidth="1"/>
    <col min="2101" max="2101" width="13.6640625" style="528" customWidth="1"/>
    <col min="2102" max="2102" width="9" style="528" customWidth="1"/>
    <col min="2103" max="2103" width="49.88671875" style="528" customWidth="1"/>
    <col min="2104" max="2104" width="0" style="528" hidden="1"/>
    <col min="2105" max="2106" width="15.88671875" style="528" customWidth="1"/>
    <col min="2107" max="2107" width="14.5546875" style="528" customWidth="1"/>
    <col min="2108" max="2108" width="16.33203125" style="528" customWidth="1"/>
    <col min="2109" max="2109" width="18.109375" style="528" customWidth="1"/>
    <col min="2110" max="2110" width="14.109375" style="528" customWidth="1"/>
    <col min="2111" max="2337" width="0" style="528" hidden="1"/>
    <col min="2338" max="2338" width="7.5546875" style="528" customWidth="1"/>
    <col min="2339" max="2339" width="36.77734375" style="528" customWidth="1"/>
    <col min="2340" max="2341" width="0" style="528" hidden="1"/>
    <col min="2342" max="2342" width="16.6640625" style="528" customWidth="1"/>
    <col min="2343" max="2343" width="17.33203125" style="528" customWidth="1"/>
    <col min="2344" max="2344" width="15.5546875" style="528" customWidth="1"/>
    <col min="2345" max="2345" width="0" style="528" hidden="1"/>
    <col min="2346" max="2346" width="16.6640625" style="528" customWidth="1"/>
    <col min="2347" max="2347" width="17.44140625" style="528" customWidth="1"/>
    <col min="2348" max="2349" width="0" style="528" hidden="1"/>
    <col min="2350" max="2352" width="15.33203125" style="528" customWidth="1"/>
    <col min="2353" max="2353" width="17" style="528" customWidth="1"/>
    <col min="2354" max="2354" width="0" style="528" hidden="1"/>
    <col min="2355" max="2356" width="15.5546875" style="528" customWidth="1"/>
    <col min="2357" max="2357" width="13.6640625" style="528" customWidth="1"/>
    <col min="2358" max="2358" width="9" style="528" customWidth="1"/>
    <col min="2359" max="2359" width="49.88671875" style="528" customWidth="1"/>
    <col min="2360" max="2360" width="0" style="528" hidden="1"/>
    <col min="2361" max="2362" width="15.88671875" style="528" customWidth="1"/>
    <col min="2363" max="2363" width="14.5546875" style="528" customWidth="1"/>
    <col min="2364" max="2364" width="16.33203125" style="528" customWidth="1"/>
    <col min="2365" max="2365" width="18.109375" style="528" customWidth="1"/>
    <col min="2366" max="2366" width="14.109375" style="528" customWidth="1"/>
    <col min="2367" max="2593" width="0" style="528" hidden="1"/>
    <col min="2594" max="2594" width="7.5546875" style="528" customWidth="1"/>
    <col min="2595" max="2595" width="36.77734375" style="528" customWidth="1"/>
    <col min="2596" max="2597" width="0" style="528" hidden="1"/>
    <col min="2598" max="2598" width="16.6640625" style="528" customWidth="1"/>
    <col min="2599" max="2599" width="17.33203125" style="528" customWidth="1"/>
    <col min="2600" max="2600" width="15.5546875" style="528" customWidth="1"/>
    <col min="2601" max="2601" width="0" style="528" hidden="1"/>
    <col min="2602" max="2602" width="16.6640625" style="528" customWidth="1"/>
    <col min="2603" max="2603" width="17.44140625" style="528" customWidth="1"/>
    <col min="2604" max="2605" width="0" style="528" hidden="1"/>
    <col min="2606" max="2608" width="15.33203125" style="528" customWidth="1"/>
    <col min="2609" max="2609" width="17" style="528" customWidth="1"/>
    <col min="2610" max="2610" width="0" style="528" hidden="1"/>
    <col min="2611" max="2612" width="15.5546875" style="528" customWidth="1"/>
    <col min="2613" max="2613" width="13.6640625" style="528" customWidth="1"/>
    <col min="2614" max="2614" width="9" style="528" customWidth="1"/>
    <col min="2615" max="2615" width="49.88671875" style="528" customWidth="1"/>
    <col min="2616" max="2616" width="0" style="528" hidden="1"/>
    <col min="2617" max="2618" width="15.88671875" style="528" customWidth="1"/>
    <col min="2619" max="2619" width="14.5546875" style="528" customWidth="1"/>
    <col min="2620" max="2620" width="16.33203125" style="528" customWidth="1"/>
    <col min="2621" max="2621" width="18.109375" style="528" customWidth="1"/>
    <col min="2622" max="2622" width="14.109375" style="528" customWidth="1"/>
    <col min="2623" max="2849" width="0" style="528" hidden="1"/>
    <col min="2850" max="2850" width="7.5546875" style="528" customWidth="1"/>
    <col min="2851" max="2851" width="36.77734375" style="528" customWidth="1"/>
    <col min="2852" max="2853" width="0" style="528" hidden="1"/>
    <col min="2854" max="2854" width="16.6640625" style="528" customWidth="1"/>
    <col min="2855" max="2855" width="17.33203125" style="528" customWidth="1"/>
    <col min="2856" max="2856" width="15.5546875" style="528" customWidth="1"/>
    <col min="2857" max="2857" width="0" style="528" hidden="1"/>
    <col min="2858" max="2858" width="16.6640625" style="528" customWidth="1"/>
    <col min="2859" max="2859" width="17.44140625" style="528" customWidth="1"/>
    <col min="2860" max="2861" width="0" style="528" hidden="1"/>
    <col min="2862" max="2864" width="15.33203125" style="528" customWidth="1"/>
    <col min="2865" max="2865" width="17" style="528" customWidth="1"/>
    <col min="2866" max="2866" width="0" style="528" hidden="1"/>
    <col min="2867" max="2868" width="15.5546875" style="528" customWidth="1"/>
    <col min="2869" max="2869" width="13.6640625" style="528" customWidth="1"/>
    <col min="2870" max="2870" width="9" style="528" customWidth="1"/>
    <col min="2871" max="2871" width="49.88671875" style="528" customWidth="1"/>
    <col min="2872" max="2872" width="0" style="528" hidden="1"/>
    <col min="2873" max="2874" width="15.88671875" style="528" customWidth="1"/>
    <col min="2875" max="2875" width="14.5546875" style="528" customWidth="1"/>
    <col min="2876" max="2876" width="16.33203125" style="528" customWidth="1"/>
    <col min="2877" max="2877" width="18.109375" style="528" customWidth="1"/>
    <col min="2878" max="2878" width="14.109375" style="528" customWidth="1"/>
    <col min="2879" max="3105" width="0" style="528" hidden="1"/>
    <col min="3106" max="3106" width="7.5546875" style="528" customWidth="1"/>
    <col min="3107" max="3107" width="36.77734375" style="528" customWidth="1"/>
    <col min="3108" max="3109" width="0" style="528" hidden="1"/>
    <col min="3110" max="3110" width="16.6640625" style="528" customWidth="1"/>
    <col min="3111" max="3111" width="17.33203125" style="528" customWidth="1"/>
    <col min="3112" max="3112" width="15.5546875" style="528" customWidth="1"/>
    <col min="3113" max="3113" width="0" style="528" hidden="1"/>
    <col min="3114" max="3114" width="16.6640625" style="528" customWidth="1"/>
    <col min="3115" max="3115" width="17.44140625" style="528" customWidth="1"/>
    <col min="3116" max="3117" width="0" style="528" hidden="1"/>
    <col min="3118" max="3120" width="15.33203125" style="528" customWidth="1"/>
    <col min="3121" max="3121" width="17" style="528" customWidth="1"/>
    <col min="3122" max="3122" width="0" style="528" hidden="1"/>
    <col min="3123" max="3124" width="15.5546875" style="528" customWidth="1"/>
    <col min="3125" max="3125" width="13.6640625" style="528" customWidth="1"/>
    <col min="3126" max="3126" width="9" style="528" customWidth="1"/>
    <col min="3127" max="3127" width="49.88671875" style="528" customWidth="1"/>
    <col min="3128" max="3128" width="0" style="528" hidden="1"/>
    <col min="3129" max="3130" width="15.88671875" style="528" customWidth="1"/>
    <col min="3131" max="3131" width="14.5546875" style="528" customWidth="1"/>
    <col min="3132" max="3132" width="16.33203125" style="528" customWidth="1"/>
    <col min="3133" max="3133" width="18.109375" style="528" customWidth="1"/>
    <col min="3134" max="3134" width="14.109375" style="528" customWidth="1"/>
    <col min="3135" max="3361" width="0" style="528" hidden="1"/>
    <col min="3362" max="3362" width="7.5546875" style="528" customWidth="1"/>
    <col min="3363" max="3363" width="36.77734375" style="528" customWidth="1"/>
    <col min="3364" max="3365" width="0" style="528" hidden="1"/>
    <col min="3366" max="3366" width="16.6640625" style="528" customWidth="1"/>
    <col min="3367" max="3367" width="17.33203125" style="528" customWidth="1"/>
    <col min="3368" max="3368" width="15.5546875" style="528" customWidth="1"/>
    <col min="3369" max="3369" width="0" style="528" hidden="1"/>
    <col min="3370" max="3370" width="16.6640625" style="528" customWidth="1"/>
    <col min="3371" max="3371" width="17.44140625" style="528" customWidth="1"/>
    <col min="3372" max="3373" width="0" style="528" hidden="1"/>
    <col min="3374" max="3376" width="15.33203125" style="528" customWidth="1"/>
    <col min="3377" max="3377" width="17" style="528" customWidth="1"/>
    <col min="3378" max="3378" width="0" style="528" hidden="1"/>
    <col min="3379" max="3380" width="15.5546875" style="528" customWidth="1"/>
    <col min="3381" max="3381" width="13.6640625" style="528" customWidth="1"/>
    <col min="3382" max="3382" width="9" style="528" customWidth="1"/>
    <col min="3383" max="3383" width="49.88671875" style="528" customWidth="1"/>
    <col min="3384" max="3384" width="0" style="528" hidden="1"/>
    <col min="3385" max="3386" width="15.88671875" style="528" customWidth="1"/>
    <col min="3387" max="3387" width="14.5546875" style="528" customWidth="1"/>
    <col min="3388" max="3388" width="16.33203125" style="528" customWidth="1"/>
    <col min="3389" max="3389" width="18.109375" style="528" customWidth="1"/>
    <col min="3390" max="3390" width="14.109375" style="528" customWidth="1"/>
    <col min="3391" max="3617" width="0" style="528" hidden="1"/>
    <col min="3618" max="3618" width="7.5546875" style="528" customWidth="1"/>
    <col min="3619" max="3619" width="36.77734375" style="528" customWidth="1"/>
    <col min="3620" max="3621" width="0" style="528" hidden="1"/>
    <col min="3622" max="3622" width="16.6640625" style="528" customWidth="1"/>
    <col min="3623" max="3623" width="17.33203125" style="528" customWidth="1"/>
    <col min="3624" max="3624" width="15.5546875" style="528" customWidth="1"/>
    <col min="3625" max="3625" width="0" style="528" hidden="1"/>
    <col min="3626" max="3626" width="16.6640625" style="528" customWidth="1"/>
    <col min="3627" max="3627" width="17.44140625" style="528" customWidth="1"/>
    <col min="3628" max="3629" width="0" style="528" hidden="1"/>
    <col min="3630" max="3632" width="15.33203125" style="528" customWidth="1"/>
    <col min="3633" max="3633" width="17" style="528" customWidth="1"/>
    <col min="3634" max="3634" width="0" style="528" hidden="1"/>
    <col min="3635" max="3636" width="15.5546875" style="528" customWidth="1"/>
    <col min="3637" max="3637" width="13.6640625" style="528" customWidth="1"/>
    <col min="3638" max="3638" width="9" style="528" customWidth="1"/>
    <col min="3639" max="3639" width="49.88671875" style="528" customWidth="1"/>
    <col min="3640" max="3640" width="0" style="528" hidden="1"/>
    <col min="3641" max="3642" width="15.88671875" style="528" customWidth="1"/>
    <col min="3643" max="3643" width="14.5546875" style="528" customWidth="1"/>
    <col min="3644" max="3644" width="16.33203125" style="528" customWidth="1"/>
    <col min="3645" max="3645" width="18.109375" style="528" customWidth="1"/>
    <col min="3646" max="3646" width="14.109375" style="528" customWidth="1"/>
    <col min="3647" max="3873" width="0" style="528" hidden="1"/>
    <col min="3874" max="3874" width="7.5546875" style="528" customWidth="1"/>
    <col min="3875" max="3875" width="36.77734375" style="528" customWidth="1"/>
    <col min="3876" max="3877" width="0" style="528" hidden="1"/>
    <col min="3878" max="3878" width="16.6640625" style="528" customWidth="1"/>
    <col min="3879" max="3879" width="17.33203125" style="528" customWidth="1"/>
    <col min="3880" max="3880" width="15.5546875" style="528" customWidth="1"/>
    <col min="3881" max="3881" width="0" style="528" hidden="1"/>
    <col min="3882" max="3882" width="16.6640625" style="528" customWidth="1"/>
    <col min="3883" max="3883" width="17.44140625" style="528" customWidth="1"/>
    <col min="3884" max="3885" width="0" style="528" hidden="1"/>
    <col min="3886" max="3888" width="15.33203125" style="528" customWidth="1"/>
    <col min="3889" max="3889" width="17" style="528" customWidth="1"/>
    <col min="3890" max="3890" width="0" style="528" hidden="1"/>
    <col min="3891" max="3892" width="15.5546875" style="528" customWidth="1"/>
    <col min="3893" max="3893" width="13.6640625" style="528" customWidth="1"/>
    <col min="3894" max="3894" width="9" style="528" customWidth="1"/>
    <col min="3895" max="3895" width="49.88671875" style="528" customWidth="1"/>
    <col min="3896" max="3896" width="0" style="528" hidden="1"/>
    <col min="3897" max="3898" width="15.88671875" style="528" customWidth="1"/>
    <col min="3899" max="3899" width="14.5546875" style="528" customWidth="1"/>
    <col min="3900" max="3900" width="16.33203125" style="528" customWidth="1"/>
    <col min="3901" max="3901" width="18.109375" style="528" customWidth="1"/>
    <col min="3902" max="3902" width="14.109375" style="528" customWidth="1"/>
    <col min="3903" max="4129" width="0" style="528" hidden="1"/>
    <col min="4130" max="4130" width="7.5546875" style="528" customWidth="1"/>
    <col min="4131" max="4131" width="36.77734375" style="528" customWidth="1"/>
    <col min="4132" max="4133" width="0" style="528" hidden="1"/>
    <col min="4134" max="4134" width="16.6640625" style="528" customWidth="1"/>
    <col min="4135" max="4135" width="17.33203125" style="528" customWidth="1"/>
    <col min="4136" max="4136" width="15.5546875" style="528" customWidth="1"/>
    <col min="4137" max="4137" width="0" style="528" hidden="1"/>
    <col min="4138" max="4138" width="16.6640625" style="528" customWidth="1"/>
    <col min="4139" max="4139" width="17.44140625" style="528" customWidth="1"/>
    <col min="4140" max="4141" width="0" style="528" hidden="1"/>
    <col min="4142" max="4144" width="15.33203125" style="528" customWidth="1"/>
    <col min="4145" max="4145" width="17" style="528" customWidth="1"/>
    <col min="4146" max="4146" width="0" style="528" hidden="1"/>
    <col min="4147" max="4148" width="15.5546875" style="528" customWidth="1"/>
    <col min="4149" max="4149" width="13.6640625" style="528" customWidth="1"/>
    <col min="4150" max="4150" width="9" style="528" customWidth="1"/>
    <col min="4151" max="4151" width="49.88671875" style="528" customWidth="1"/>
    <col min="4152" max="4152" width="0" style="528" hidden="1"/>
    <col min="4153" max="4154" width="15.88671875" style="528" customWidth="1"/>
    <col min="4155" max="4155" width="14.5546875" style="528" customWidth="1"/>
    <col min="4156" max="4156" width="16.33203125" style="528" customWidth="1"/>
    <col min="4157" max="4157" width="18.109375" style="528" customWidth="1"/>
    <col min="4158" max="4158" width="14.109375" style="528" customWidth="1"/>
    <col min="4159" max="4385" width="0" style="528" hidden="1"/>
    <col min="4386" max="4386" width="7.5546875" style="528" customWidth="1"/>
    <col min="4387" max="4387" width="36.77734375" style="528" customWidth="1"/>
    <col min="4388" max="4389" width="0" style="528" hidden="1"/>
    <col min="4390" max="4390" width="16.6640625" style="528" customWidth="1"/>
    <col min="4391" max="4391" width="17.33203125" style="528" customWidth="1"/>
    <col min="4392" max="4392" width="15.5546875" style="528" customWidth="1"/>
    <col min="4393" max="4393" width="0" style="528" hidden="1"/>
    <col min="4394" max="4394" width="16.6640625" style="528" customWidth="1"/>
    <col min="4395" max="4395" width="17.44140625" style="528" customWidth="1"/>
    <col min="4396" max="4397" width="0" style="528" hidden="1"/>
    <col min="4398" max="4400" width="15.33203125" style="528" customWidth="1"/>
    <col min="4401" max="4401" width="17" style="528" customWidth="1"/>
    <col min="4402" max="4402" width="0" style="528" hidden="1"/>
    <col min="4403" max="4404" width="15.5546875" style="528" customWidth="1"/>
    <col min="4405" max="4405" width="13.6640625" style="528" customWidth="1"/>
    <col min="4406" max="4406" width="9" style="528" customWidth="1"/>
    <col min="4407" max="4407" width="49.88671875" style="528" customWidth="1"/>
    <col min="4408" max="4408" width="0" style="528" hidden="1"/>
    <col min="4409" max="4410" width="15.88671875" style="528" customWidth="1"/>
    <col min="4411" max="4411" width="14.5546875" style="528" customWidth="1"/>
    <col min="4412" max="4412" width="16.33203125" style="528" customWidth="1"/>
    <col min="4413" max="4413" width="18.109375" style="528" customWidth="1"/>
    <col min="4414" max="4414" width="14.109375" style="528" customWidth="1"/>
    <col min="4415" max="4641" width="0" style="528" hidden="1"/>
    <col min="4642" max="4642" width="7.5546875" style="528" customWidth="1"/>
    <col min="4643" max="4643" width="36.77734375" style="528" customWidth="1"/>
    <col min="4644" max="4645" width="0" style="528" hidden="1"/>
    <col min="4646" max="4646" width="16.6640625" style="528" customWidth="1"/>
    <col min="4647" max="4647" width="17.33203125" style="528" customWidth="1"/>
    <col min="4648" max="4648" width="15.5546875" style="528" customWidth="1"/>
    <col min="4649" max="4649" width="0" style="528" hidden="1"/>
    <col min="4650" max="4650" width="16.6640625" style="528" customWidth="1"/>
    <col min="4651" max="4651" width="17.44140625" style="528" customWidth="1"/>
    <col min="4652" max="4653" width="0" style="528" hidden="1"/>
    <col min="4654" max="4656" width="15.33203125" style="528" customWidth="1"/>
    <col min="4657" max="4657" width="17" style="528" customWidth="1"/>
    <col min="4658" max="4658" width="0" style="528" hidden="1"/>
    <col min="4659" max="4660" width="15.5546875" style="528" customWidth="1"/>
    <col min="4661" max="4661" width="13.6640625" style="528" customWidth="1"/>
    <col min="4662" max="4662" width="9" style="528" customWidth="1"/>
    <col min="4663" max="4663" width="49.88671875" style="528" customWidth="1"/>
    <col min="4664" max="4664" width="0" style="528" hidden="1"/>
    <col min="4665" max="4666" width="15.88671875" style="528" customWidth="1"/>
    <col min="4667" max="4667" width="14.5546875" style="528" customWidth="1"/>
    <col min="4668" max="4668" width="16.33203125" style="528" customWidth="1"/>
    <col min="4669" max="4669" width="18.109375" style="528" customWidth="1"/>
    <col min="4670" max="4670" width="14.109375" style="528" customWidth="1"/>
    <col min="4671" max="4897" width="0" style="528" hidden="1"/>
    <col min="4898" max="4898" width="7.5546875" style="528" customWidth="1"/>
    <col min="4899" max="4899" width="36.77734375" style="528" customWidth="1"/>
    <col min="4900" max="4901" width="0" style="528" hidden="1"/>
    <col min="4902" max="4902" width="16.6640625" style="528" customWidth="1"/>
    <col min="4903" max="4903" width="17.33203125" style="528" customWidth="1"/>
    <col min="4904" max="4904" width="15.5546875" style="528" customWidth="1"/>
    <col min="4905" max="4905" width="0" style="528" hidden="1"/>
    <col min="4906" max="4906" width="16.6640625" style="528" customWidth="1"/>
    <col min="4907" max="4907" width="17.44140625" style="528" customWidth="1"/>
    <col min="4908" max="4909" width="0" style="528" hidden="1"/>
    <col min="4910" max="4912" width="15.33203125" style="528" customWidth="1"/>
    <col min="4913" max="4913" width="17" style="528" customWidth="1"/>
    <col min="4914" max="4914" width="0" style="528" hidden="1"/>
    <col min="4915" max="4916" width="15.5546875" style="528" customWidth="1"/>
    <col min="4917" max="4917" width="13.6640625" style="528" customWidth="1"/>
    <col min="4918" max="4918" width="9" style="528" customWidth="1"/>
    <col min="4919" max="4919" width="49.88671875" style="528" customWidth="1"/>
    <col min="4920" max="4920" width="0" style="528" hidden="1"/>
    <col min="4921" max="4922" width="15.88671875" style="528" customWidth="1"/>
    <col min="4923" max="4923" width="14.5546875" style="528" customWidth="1"/>
    <col min="4924" max="4924" width="16.33203125" style="528" customWidth="1"/>
    <col min="4925" max="4925" width="18.109375" style="528" customWidth="1"/>
    <col min="4926" max="4926" width="14.109375" style="528" customWidth="1"/>
    <col min="4927" max="5153" width="0" style="528" hidden="1"/>
    <col min="5154" max="5154" width="7.5546875" style="528" customWidth="1"/>
    <col min="5155" max="5155" width="36.77734375" style="528" customWidth="1"/>
    <col min="5156" max="5157" width="0" style="528" hidden="1"/>
    <col min="5158" max="5158" width="16.6640625" style="528" customWidth="1"/>
    <col min="5159" max="5159" width="17.33203125" style="528" customWidth="1"/>
    <col min="5160" max="5160" width="15.5546875" style="528" customWidth="1"/>
    <col min="5161" max="5161" width="0" style="528" hidden="1"/>
    <col min="5162" max="5162" width="16.6640625" style="528" customWidth="1"/>
    <col min="5163" max="5163" width="17.44140625" style="528" customWidth="1"/>
    <col min="5164" max="5165" width="0" style="528" hidden="1"/>
    <col min="5166" max="5168" width="15.33203125" style="528" customWidth="1"/>
    <col min="5169" max="5169" width="17" style="528" customWidth="1"/>
    <col min="5170" max="5170" width="0" style="528" hidden="1"/>
    <col min="5171" max="5172" width="15.5546875" style="528" customWidth="1"/>
    <col min="5173" max="5173" width="13.6640625" style="528" customWidth="1"/>
    <col min="5174" max="5174" width="9" style="528" customWidth="1"/>
    <col min="5175" max="5175" width="49.88671875" style="528" customWidth="1"/>
    <col min="5176" max="5176" width="0" style="528" hidden="1"/>
    <col min="5177" max="5178" width="15.88671875" style="528" customWidth="1"/>
    <col min="5179" max="5179" width="14.5546875" style="528" customWidth="1"/>
    <col min="5180" max="5180" width="16.33203125" style="528" customWidth="1"/>
    <col min="5181" max="5181" width="18.109375" style="528" customWidth="1"/>
    <col min="5182" max="5182" width="14.109375" style="528" customWidth="1"/>
    <col min="5183" max="5409" width="0" style="528" hidden="1"/>
    <col min="5410" max="5410" width="7.5546875" style="528" customWidth="1"/>
    <col min="5411" max="5411" width="36.77734375" style="528" customWidth="1"/>
    <col min="5412" max="5413" width="0" style="528" hidden="1"/>
    <col min="5414" max="5414" width="16.6640625" style="528" customWidth="1"/>
    <col min="5415" max="5415" width="17.33203125" style="528" customWidth="1"/>
    <col min="5416" max="5416" width="15.5546875" style="528" customWidth="1"/>
    <col min="5417" max="5417" width="0" style="528" hidden="1"/>
    <col min="5418" max="5418" width="16.6640625" style="528" customWidth="1"/>
    <col min="5419" max="5419" width="17.44140625" style="528" customWidth="1"/>
    <col min="5420" max="5421" width="0" style="528" hidden="1"/>
    <col min="5422" max="5424" width="15.33203125" style="528" customWidth="1"/>
    <col min="5425" max="5425" width="17" style="528" customWidth="1"/>
    <col min="5426" max="5426" width="0" style="528" hidden="1"/>
    <col min="5427" max="5428" width="15.5546875" style="528" customWidth="1"/>
    <col min="5429" max="5429" width="13.6640625" style="528" customWidth="1"/>
    <col min="5430" max="5430" width="9" style="528" customWidth="1"/>
    <col min="5431" max="5431" width="49.88671875" style="528" customWidth="1"/>
    <col min="5432" max="5432" width="0" style="528" hidden="1"/>
    <col min="5433" max="5434" width="15.88671875" style="528" customWidth="1"/>
    <col min="5435" max="5435" width="14.5546875" style="528" customWidth="1"/>
    <col min="5436" max="5436" width="16.33203125" style="528" customWidth="1"/>
    <col min="5437" max="5437" width="18.109375" style="528" customWidth="1"/>
    <col min="5438" max="5438" width="14.109375" style="528" customWidth="1"/>
    <col min="5439" max="5665" width="0" style="528" hidden="1"/>
    <col min="5666" max="5666" width="7.5546875" style="528" customWidth="1"/>
    <col min="5667" max="5667" width="36.77734375" style="528" customWidth="1"/>
    <col min="5668" max="5669" width="0" style="528" hidden="1"/>
    <col min="5670" max="5670" width="16.6640625" style="528" customWidth="1"/>
    <col min="5671" max="5671" width="17.33203125" style="528" customWidth="1"/>
    <col min="5672" max="5672" width="15.5546875" style="528" customWidth="1"/>
    <col min="5673" max="5673" width="0" style="528" hidden="1"/>
    <col min="5674" max="5674" width="16.6640625" style="528" customWidth="1"/>
    <col min="5675" max="5675" width="17.44140625" style="528" customWidth="1"/>
    <col min="5676" max="5677" width="0" style="528" hidden="1"/>
    <col min="5678" max="5680" width="15.33203125" style="528" customWidth="1"/>
    <col min="5681" max="5681" width="17" style="528" customWidth="1"/>
    <col min="5682" max="5682" width="0" style="528" hidden="1"/>
    <col min="5683" max="5684" width="15.5546875" style="528" customWidth="1"/>
    <col min="5685" max="5685" width="13.6640625" style="528" customWidth="1"/>
    <col min="5686" max="5686" width="9" style="528" customWidth="1"/>
    <col min="5687" max="5687" width="49.88671875" style="528" customWidth="1"/>
    <col min="5688" max="5688" width="0" style="528" hidden="1"/>
    <col min="5689" max="5690" width="15.88671875" style="528" customWidth="1"/>
    <col min="5691" max="5691" width="14.5546875" style="528" customWidth="1"/>
    <col min="5692" max="5692" width="16.33203125" style="528" customWidth="1"/>
    <col min="5693" max="5693" width="18.109375" style="528" customWidth="1"/>
    <col min="5694" max="5694" width="14.109375" style="528" customWidth="1"/>
    <col min="5695" max="5921" width="0" style="528" hidden="1"/>
    <col min="5922" max="5922" width="7.5546875" style="528" customWidth="1"/>
    <col min="5923" max="5923" width="36.77734375" style="528" customWidth="1"/>
    <col min="5924" max="5925" width="0" style="528" hidden="1"/>
    <col min="5926" max="5926" width="16.6640625" style="528" customWidth="1"/>
    <col min="5927" max="5927" width="17.33203125" style="528" customWidth="1"/>
    <col min="5928" max="5928" width="15.5546875" style="528" customWidth="1"/>
    <col min="5929" max="5929" width="0" style="528" hidden="1"/>
    <col min="5930" max="5930" width="16.6640625" style="528" customWidth="1"/>
    <col min="5931" max="5931" width="17.44140625" style="528" customWidth="1"/>
    <col min="5932" max="5933" width="0" style="528" hidden="1"/>
    <col min="5934" max="5936" width="15.33203125" style="528" customWidth="1"/>
    <col min="5937" max="5937" width="17" style="528" customWidth="1"/>
    <col min="5938" max="5938" width="0" style="528" hidden="1"/>
    <col min="5939" max="5940" width="15.5546875" style="528" customWidth="1"/>
    <col min="5941" max="5941" width="13.6640625" style="528" customWidth="1"/>
    <col min="5942" max="5942" width="9" style="528" customWidth="1"/>
    <col min="5943" max="5943" width="49.88671875" style="528" customWidth="1"/>
    <col min="5944" max="5944" width="0" style="528" hidden="1"/>
    <col min="5945" max="5946" width="15.88671875" style="528" customWidth="1"/>
    <col min="5947" max="5947" width="14.5546875" style="528" customWidth="1"/>
    <col min="5948" max="5948" width="16.33203125" style="528" customWidth="1"/>
    <col min="5949" max="5949" width="18.109375" style="528" customWidth="1"/>
    <col min="5950" max="5950" width="14.109375" style="528" customWidth="1"/>
    <col min="5951" max="6177" width="0" style="528" hidden="1"/>
    <col min="6178" max="6178" width="7.5546875" style="528" customWidth="1"/>
    <col min="6179" max="6179" width="36.77734375" style="528" customWidth="1"/>
    <col min="6180" max="6181" width="0" style="528" hidden="1"/>
    <col min="6182" max="6182" width="16.6640625" style="528" customWidth="1"/>
    <col min="6183" max="6183" width="17.33203125" style="528" customWidth="1"/>
    <col min="6184" max="6184" width="15.5546875" style="528" customWidth="1"/>
    <col min="6185" max="6185" width="0" style="528" hidden="1"/>
    <col min="6186" max="6186" width="16.6640625" style="528" customWidth="1"/>
    <col min="6187" max="6187" width="17.44140625" style="528" customWidth="1"/>
    <col min="6188" max="6189" width="0" style="528" hidden="1"/>
    <col min="6190" max="6192" width="15.33203125" style="528" customWidth="1"/>
    <col min="6193" max="6193" width="17" style="528" customWidth="1"/>
    <col min="6194" max="6194" width="0" style="528" hidden="1"/>
    <col min="6195" max="6196" width="15.5546875" style="528" customWidth="1"/>
    <col min="6197" max="6197" width="13.6640625" style="528" customWidth="1"/>
    <col min="6198" max="6198" width="9" style="528" customWidth="1"/>
    <col min="6199" max="6199" width="49.88671875" style="528" customWidth="1"/>
    <col min="6200" max="6200" width="0" style="528" hidden="1"/>
    <col min="6201" max="6202" width="15.88671875" style="528" customWidth="1"/>
    <col min="6203" max="6203" width="14.5546875" style="528" customWidth="1"/>
    <col min="6204" max="6204" width="16.33203125" style="528" customWidth="1"/>
    <col min="6205" max="6205" width="18.109375" style="528" customWidth="1"/>
    <col min="6206" max="6206" width="14.109375" style="528" customWidth="1"/>
    <col min="6207" max="6433" width="0" style="528" hidden="1"/>
    <col min="6434" max="6434" width="7.5546875" style="528" customWidth="1"/>
    <col min="6435" max="6435" width="36.77734375" style="528" customWidth="1"/>
    <col min="6436" max="6437" width="0" style="528" hidden="1"/>
    <col min="6438" max="6438" width="16.6640625" style="528" customWidth="1"/>
    <col min="6439" max="6439" width="17.33203125" style="528" customWidth="1"/>
    <col min="6440" max="6440" width="15.5546875" style="528" customWidth="1"/>
    <col min="6441" max="6441" width="0" style="528" hidden="1"/>
    <col min="6442" max="6442" width="16.6640625" style="528" customWidth="1"/>
    <col min="6443" max="6443" width="17.44140625" style="528" customWidth="1"/>
    <col min="6444" max="6445" width="0" style="528" hidden="1"/>
    <col min="6446" max="6448" width="15.33203125" style="528" customWidth="1"/>
    <col min="6449" max="6449" width="17" style="528" customWidth="1"/>
    <col min="6450" max="6450" width="0" style="528" hidden="1"/>
    <col min="6451" max="6452" width="15.5546875" style="528" customWidth="1"/>
    <col min="6453" max="6453" width="13.6640625" style="528" customWidth="1"/>
    <col min="6454" max="6454" width="9" style="528" customWidth="1"/>
    <col min="6455" max="6455" width="49.88671875" style="528" customWidth="1"/>
    <col min="6456" max="6456" width="0" style="528" hidden="1"/>
    <col min="6457" max="6458" width="15.88671875" style="528" customWidth="1"/>
    <col min="6459" max="6459" width="14.5546875" style="528" customWidth="1"/>
    <col min="6460" max="6460" width="16.33203125" style="528" customWidth="1"/>
    <col min="6461" max="6461" width="18.109375" style="528" customWidth="1"/>
    <col min="6462" max="6462" width="14.109375" style="528" customWidth="1"/>
    <col min="6463" max="6689" width="0" style="528" hidden="1"/>
    <col min="6690" max="6690" width="7.5546875" style="528" customWidth="1"/>
    <col min="6691" max="6691" width="36.77734375" style="528" customWidth="1"/>
    <col min="6692" max="6693" width="0" style="528" hidden="1"/>
    <col min="6694" max="6694" width="16.6640625" style="528" customWidth="1"/>
    <col min="6695" max="6695" width="17.33203125" style="528" customWidth="1"/>
    <col min="6696" max="6696" width="15.5546875" style="528" customWidth="1"/>
    <col min="6697" max="6697" width="0" style="528" hidden="1"/>
    <col min="6698" max="6698" width="16.6640625" style="528" customWidth="1"/>
    <col min="6699" max="6699" width="17.44140625" style="528" customWidth="1"/>
    <col min="6700" max="6701" width="0" style="528" hidden="1"/>
    <col min="6702" max="6704" width="15.33203125" style="528" customWidth="1"/>
    <col min="6705" max="6705" width="17" style="528" customWidth="1"/>
    <col min="6706" max="6706" width="0" style="528" hidden="1"/>
    <col min="6707" max="6708" width="15.5546875" style="528" customWidth="1"/>
    <col min="6709" max="6709" width="13.6640625" style="528" customWidth="1"/>
    <col min="6710" max="6710" width="9" style="528" customWidth="1"/>
    <col min="6711" max="6711" width="49.88671875" style="528" customWidth="1"/>
    <col min="6712" max="6712" width="0" style="528" hidden="1"/>
    <col min="6713" max="6714" width="15.88671875" style="528" customWidth="1"/>
    <col min="6715" max="6715" width="14.5546875" style="528" customWidth="1"/>
    <col min="6716" max="6716" width="16.33203125" style="528" customWidth="1"/>
    <col min="6717" max="6717" width="18.109375" style="528" customWidth="1"/>
    <col min="6718" max="6718" width="14.109375" style="528" customWidth="1"/>
    <col min="6719" max="6945" width="0" style="528" hidden="1"/>
    <col min="6946" max="6946" width="7.5546875" style="528" customWidth="1"/>
    <col min="6947" max="6947" width="36.77734375" style="528" customWidth="1"/>
    <col min="6948" max="6949" width="0" style="528" hidden="1"/>
    <col min="6950" max="6950" width="16.6640625" style="528" customWidth="1"/>
    <col min="6951" max="6951" width="17.33203125" style="528" customWidth="1"/>
    <col min="6952" max="6952" width="15.5546875" style="528" customWidth="1"/>
    <col min="6953" max="6953" width="0" style="528" hidden="1"/>
    <col min="6954" max="6954" width="16.6640625" style="528" customWidth="1"/>
    <col min="6955" max="6955" width="17.44140625" style="528" customWidth="1"/>
    <col min="6956" max="6957" width="0" style="528" hidden="1"/>
    <col min="6958" max="6960" width="15.33203125" style="528" customWidth="1"/>
    <col min="6961" max="6961" width="17" style="528" customWidth="1"/>
    <col min="6962" max="6962" width="0" style="528" hidden="1"/>
    <col min="6963" max="6964" width="15.5546875" style="528" customWidth="1"/>
    <col min="6965" max="6965" width="13.6640625" style="528" customWidth="1"/>
    <col min="6966" max="6966" width="9" style="528" customWidth="1"/>
    <col min="6967" max="6967" width="49.88671875" style="528" customWidth="1"/>
    <col min="6968" max="6968" width="0" style="528" hidden="1"/>
    <col min="6969" max="6970" width="15.88671875" style="528" customWidth="1"/>
    <col min="6971" max="6971" width="14.5546875" style="528" customWidth="1"/>
    <col min="6972" max="6972" width="16.33203125" style="528" customWidth="1"/>
    <col min="6973" max="6973" width="18.109375" style="528" customWidth="1"/>
    <col min="6974" max="6974" width="14.109375" style="528" customWidth="1"/>
    <col min="6975" max="7201" width="0" style="528" hidden="1"/>
    <col min="7202" max="7202" width="7.5546875" style="528" customWidth="1"/>
    <col min="7203" max="7203" width="36.77734375" style="528" customWidth="1"/>
    <col min="7204" max="7205" width="0" style="528" hidden="1"/>
    <col min="7206" max="7206" width="16.6640625" style="528" customWidth="1"/>
    <col min="7207" max="7207" width="17.33203125" style="528" customWidth="1"/>
    <col min="7208" max="7208" width="15.5546875" style="528" customWidth="1"/>
    <col min="7209" max="7209" width="0" style="528" hidden="1"/>
    <col min="7210" max="7210" width="16.6640625" style="528" customWidth="1"/>
    <col min="7211" max="7211" width="17.44140625" style="528" customWidth="1"/>
    <col min="7212" max="7213" width="0" style="528" hidden="1"/>
    <col min="7214" max="7216" width="15.33203125" style="528" customWidth="1"/>
    <col min="7217" max="7217" width="17" style="528" customWidth="1"/>
    <col min="7218" max="7218" width="0" style="528" hidden="1"/>
    <col min="7219" max="7220" width="15.5546875" style="528" customWidth="1"/>
    <col min="7221" max="7221" width="13.6640625" style="528" customWidth="1"/>
    <col min="7222" max="7222" width="9" style="528" customWidth="1"/>
    <col min="7223" max="7223" width="49.88671875" style="528" customWidth="1"/>
    <col min="7224" max="7224" width="0" style="528" hidden="1"/>
    <col min="7225" max="7226" width="15.88671875" style="528" customWidth="1"/>
    <col min="7227" max="7227" width="14.5546875" style="528" customWidth="1"/>
    <col min="7228" max="7228" width="16.33203125" style="528" customWidth="1"/>
    <col min="7229" max="7229" width="18.109375" style="528" customWidth="1"/>
    <col min="7230" max="7230" width="14.109375" style="528" customWidth="1"/>
    <col min="7231" max="7457" width="0" style="528" hidden="1"/>
    <col min="7458" max="7458" width="7.5546875" style="528" customWidth="1"/>
    <col min="7459" max="7459" width="36.77734375" style="528" customWidth="1"/>
    <col min="7460" max="7461" width="0" style="528" hidden="1"/>
    <col min="7462" max="7462" width="16.6640625" style="528" customWidth="1"/>
    <col min="7463" max="7463" width="17.33203125" style="528" customWidth="1"/>
    <col min="7464" max="7464" width="15.5546875" style="528" customWidth="1"/>
    <col min="7465" max="7465" width="0" style="528" hidden="1"/>
    <col min="7466" max="7466" width="16.6640625" style="528" customWidth="1"/>
    <col min="7467" max="7467" width="17.44140625" style="528" customWidth="1"/>
    <col min="7468" max="7469" width="0" style="528" hidden="1"/>
    <col min="7470" max="7472" width="15.33203125" style="528" customWidth="1"/>
    <col min="7473" max="7473" width="17" style="528" customWidth="1"/>
    <col min="7474" max="7474" width="0" style="528" hidden="1"/>
    <col min="7475" max="7476" width="15.5546875" style="528" customWidth="1"/>
    <col min="7477" max="7477" width="13.6640625" style="528" customWidth="1"/>
    <col min="7478" max="7478" width="9" style="528" customWidth="1"/>
    <col min="7479" max="7479" width="49.88671875" style="528" customWidth="1"/>
    <col min="7480" max="7480" width="0" style="528" hidden="1"/>
    <col min="7481" max="7482" width="15.88671875" style="528" customWidth="1"/>
    <col min="7483" max="7483" width="14.5546875" style="528" customWidth="1"/>
    <col min="7484" max="7484" width="16.33203125" style="528" customWidth="1"/>
    <col min="7485" max="7485" width="18.109375" style="528" customWidth="1"/>
    <col min="7486" max="7486" width="14.109375" style="528" customWidth="1"/>
    <col min="7487" max="7713" width="0" style="528" hidden="1"/>
    <col min="7714" max="7714" width="7.5546875" style="528" customWidth="1"/>
    <col min="7715" max="7715" width="36.77734375" style="528" customWidth="1"/>
    <col min="7716" max="7717" width="0" style="528" hidden="1"/>
    <col min="7718" max="7718" width="16.6640625" style="528" customWidth="1"/>
    <col min="7719" max="7719" width="17.33203125" style="528" customWidth="1"/>
    <col min="7720" max="7720" width="15.5546875" style="528" customWidth="1"/>
    <col min="7721" max="7721" width="0" style="528" hidden="1"/>
    <col min="7722" max="7722" width="16.6640625" style="528" customWidth="1"/>
    <col min="7723" max="7723" width="17.44140625" style="528" customWidth="1"/>
    <col min="7724" max="7725" width="0" style="528" hidden="1"/>
    <col min="7726" max="7728" width="15.33203125" style="528" customWidth="1"/>
    <col min="7729" max="7729" width="17" style="528" customWidth="1"/>
    <col min="7730" max="7730" width="0" style="528" hidden="1"/>
    <col min="7731" max="7732" width="15.5546875" style="528" customWidth="1"/>
    <col min="7733" max="7733" width="13.6640625" style="528" customWidth="1"/>
    <col min="7734" max="7734" width="9" style="528" customWidth="1"/>
    <col min="7735" max="7735" width="49.88671875" style="528" customWidth="1"/>
    <col min="7736" max="7736" width="0" style="528" hidden="1"/>
    <col min="7737" max="7738" width="15.88671875" style="528" customWidth="1"/>
    <col min="7739" max="7739" width="14.5546875" style="528" customWidth="1"/>
    <col min="7740" max="7740" width="16.33203125" style="528" customWidth="1"/>
    <col min="7741" max="7741" width="18.109375" style="528" customWidth="1"/>
    <col min="7742" max="7742" width="14.109375" style="528" customWidth="1"/>
    <col min="7743" max="7969" width="0" style="528" hidden="1"/>
    <col min="7970" max="7970" width="7.5546875" style="528" customWidth="1"/>
    <col min="7971" max="7971" width="36.77734375" style="528" customWidth="1"/>
    <col min="7972" max="7973" width="0" style="528" hidden="1"/>
    <col min="7974" max="7974" width="16.6640625" style="528" customWidth="1"/>
    <col min="7975" max="7975" width="17.33203125" style="528" customWidth="1"/>
    <col min="7976" max="7976" width="15.5546875" style="528" customWidth="1"/>
    <col min="7977" max="7977" width="0" style="528" hidden="1"/>
    <col min="7978" max="7978" width="16.6640625" style="528" customWidth="1"/>
    <col min="7979" max="7979" width="17.44140625" style="528" customWidth="1"/>
    <col min="7980" max="7981" width="0" style="528" hidden="1"/>
    <col min="7982" max="7984" width="15.33203125" style="528" customWidth="1"/>
    <col min="7985" max="7985" width="17" style="528" customWidth="1"/>
    <col min="7986" max="7986" width="0" style="528" hidden="1"/>
    <col min="7987" max="7988" width="15.5546875" style="528" customWidth="1"/>
    <col min="7989" max="7989" width="13.6640625" style="528" customWidth="1"/>
    <col min="7990" max="7990" width="9" style="528" customWidth="1"/>
    <col min="7991" max="7991" width="49.88671875" style="528" customWidth="1"/>
    <col min="7992" max="7992" width="0" style="528" hidden="1"/>
    <col min="7993" max="7994" width="15.88671875" style="528" customWidth="1"/>
    <col min="7995" max="7995" width="14.5546875" style="528" customWidth="1"/>
    <col min="7996" max="7996" width="16.33203125" style="528" customWidth="1"/>
    <col min="7997" max="7997" width="18.109375" style="528" customWidth="1"/>
    <col min="7998" max="7998" width="14.109375" style="528" customWidth="1"/>
    <col min="7999" max="8225" width="0" style="528" hidden="1"/>
    <col min="8226" max="8226" width="7.5546875" style="528" customWidth="1"/>
    <col min="8227" max="8227" width="36.77734375" style="528" customWidth="1"/>
    <col min="8228" max="8229" width="0" style="528" hidden="1"/>
    <col min="8230" max="8230" width="16.6640625" style="528" customWidth="1"/>
    <col min="8231" max="8231" width="17.33203125" style="528" customWidth="1"/>
    <col min="8232" max="8232" width="15.5546875" style="528" customWidth="1"/>
    <col min="8233" max="8233" width="0" style="528" hidden="1"/>
    <col min="8234" max="8234" width="16.6640625" style="528" customWidth="1"/>
    <col min="8235" max="8235" width="17.44140625" style="528" customWidth="1"/>
    <col min="8236" max="8237" width="0" style="528" hidden="1"/>
    <col min="8238" max="8240" width="15.33203125" style="528" customWidth="1"/>
    <col min="8241" max="8241" width="17" style="528" customWidth="1"/>
    <col min="8242" max="8242" width="0" style="528" hidden="1"/>
    <col min="8243" max="8244" width="15.5546875" style="528" customWidth="1"/>
    <col min="8245" max="8245" width="13.6640625" style="528" customWidth="1"/>
    <col min="8246" max="8246" width="9" style="528" customWidth="1"/>
    <col min="8247" max="8247" width="49.88671875" style="528" customWidth="1"/>
    <col min="8248" max="8248" width="0" style="528" hidden="1"/>
    <col min="8249" max="8250" width="15.88671875" style="528" customWidth="1"/>
    <col min="8251" max="8251" width="14.5546875" style="528" customWidth="1"/>
    <col min="8252" max="8252" width="16.33203125" style="528" customWidth="1"/>
    <col min="8253" max="8253" width="18.109375" style="528" customWidth="1"/>
    <col min="8254" max="8254" width="14.109375" style="528" customWidth="1"/>
    <col min="8255" max="8481" width="0" style="528" hidden="1"/>
    <col min="8482" max="8482" width="7.5546875" style="528" customWidth="1"/>
    <col min="8483" max="8483" width="36.77734375" style="528" customWidth="1"/>
    <col min="8484" max="8485" width="0" style="528" hidden="1"/>
    <col min="8486" max="8486" width="16.6640625" style="528" customWidth="1"/>
    <col min="8487" max="8487" width="17.33203125" style="528" customWidth="1"/>
    <col min="8488" max="8488" width="15.5546875" style="528" customWidth="1"/>
    <col min="8489" max="8489" width="0" style="528" hidden="1"/>
    <col min="8490" max="8490" width="16.6640625" style="528" customWidth="1"/>
    <col min="8491" max="8491" width="17.44140625" style="528" customWidth="1"/>
    <col min="8492" max="8493" width="0" style="528" hidden="1"/>
    <col min="8494" max="8496" width="15.33203125" style="528" customWidth="1"/>
    <col min="8497" max="8497" width="17" style="528" customWidth="1"/>
    <col min="8498" max="8498" width="0" style="528" hidden="1"/>
    <col min="8499" max="8500" width="15.5546875" style="528" customWidth="1"/>
    <col min="8501" max="8501" width="13.6640625" style="528" customWidth="1"/>
    <col min="8502" max="8502" width="9" style="528" customWidth="1"/>
    <col min="8503" max="8503" width="49.88671875" style="528" customWidth="1"/>
    <col min="8504" max="8504" width="0" style="528" hidden="1"/>
    <col min="8505" max="8506" width="15.88671875" style="528" customWidth="1"/>
    <col min="8507" max="8507" width="14.5546875" style="528" customWidth="1"/>
    <col min="8508" max="8508" width="16.33203125" style="528" customWidth="1"/>
    <col min="8509" max="8509" width="18.109375" style="528" customWidth="1"/>
    <col min="8510" max="8510" width="14.109375" style="528" customWidth="1"/>
    <col min="8511" max="8737" width="0" style="528" hidden="1"/>
    <col min="8738" max="8738" width="7.5546875" style="528" customWidth="1"/>
    <col min="8739" max="8739" width="36.77734375" style="528" customWidth="1"/>
    <col min="8740" max="8741" width="0" style="528" hidden="1"/>
    <col min="8742" max="8742" width="16.6640625" style="528" customWidth="1"/>
    <col min="8743" max="8743" width="17.33203125" style="528" customWidth="1"/>
    <col min="8744" max="8744" width="15.5546875" style="528" customWidth="1"/>
    <col min="8745" max="8745" width="0" style="528" hidden="1"/>
    <col min="8746" max="8746" width="16.6640625" style="528" customWidth="1"/>
    <col min="8747" max="8747" width="17.44140625" style="528" customWidth="1"/>
    <col min="8748" max="8749" width="0" style="528" hidden="1"/>
    <col min="8750" max="8752" width="15.33203125" style="528" customWidth="1"/>
    <col min="8753" max="8753" width="17" style="528" customWidth="1"/>
    <col min="8754" max="8754" width="0" style="528" hidden="1"/>
    <col min="8755" max="8756" width="15.5546875" style="528" customWidth="1"/>
    <col min="8757" max="8757" width="13.6640625" style="528" customWidth="1"/>
    <col min="8758" max="8758" width="9" style="528" customWidth="1"/>
    <col min="8759" max="8759" width="49.88671875" style="528" customWidth="1"/>
    <col min="8760" max="8760" width="0" style="528" hidden="1"/>
    <col min="8761" max="8762" width="15.88671875" style="528" customWidth="1"/>
    <col min="8763" max="8763" width="14.5546875" style="528" customWidth="1"/>
    <col min="8764" max="8764" width="16.33203125" style="528" customWidth="1"/>
    <col min="8765" max="8765" width="18.109375" style="528" customWidth="1"/>
    <col min="8766" max="8766" width="14.109375" style="528" customWidth="1"/>
    <col min="8767" max="8993" width="0" style="528" hidden="1"/>
    <col min="8994" max="8994" width="7.5546875" style="528" customWidth="1"/>
    <col min="8995" max="8995" width="36.77734375" style="528" customWidth="1"/>
    <col min="8996" max="8997" width="0" style="528" hidden="1"/>
    <col min="8998" max="8998" width="16.6640625" style="528" customWidth="1"/>
    <col min="8999" max="8999" width="17.33203125" style="528" customWidth="1"/>
    <col min="9000" max="9000" width="15.5546875" style="528" customWidth="1"/>
    <col min="9001" max="9001" width="0" style="528" hidden="1"/>
    <col min="9002" max="9002" width="16.6640625" style="528" customWidth="1"/>
    <col min="9003" max="9003" width="17.44140625" style="528" customWidth="1"/>
    <col min="9004" max="9005" width="0" style="528" hidden="1"/>
    <col min="9006" max="9008" width="15.33203125" style="528" customWidth="1"/>
    <col min="9009" max="9009" width="17" style="528" customWidth="1"/>
    <col min="9010" max="9010" width="0" style="528" hidden="1"/>
    <col min="9011" max="9012" width="15.5546875" style="528" customWidth="1"/>
    <col min="9013" max="9013" width="13.6640625" style="528" customWidth="1"/>
    <col min="9014" max="9014" width="9" style="528" customWidth="1"/>
    <col min="9015" max="9015" width="49.88671875" style="528" customWidth="1"/>
    <col min="9016" max="9016" width="0" style="528" hidden="1"/>
    <col min="9017" max="9018" width="15.88671875" style="528" customWidth="1"/>
    <col min="9019" max="9019" width="14.5546875" style="528" customWidth="1"/>
    <col min="9020" max="9020" width="16.33203125" style="528" customWidth="1"/>
    <col min="9021" max="9021" width="18.109375" style="528" customWidth="1"/>
    <col min="9022" max="9022" width="14.109375" style="528" customWidth="1"/>
    <col min="9023" max="9249" width="0" style="528" hidden="1"/>
    <col min="9250" max="9250" width="7.5546875" style="528" customWidth="1"/>
    <col min="9251" max="9251" width="36.77734375" style="528" customWidth="1"/>
    <col min="9252" max="9253" width="0" style="528" hidden="1"/>
    <col min="9254" max="9254" width="16.6640625" style="528" customWidth="1"/>
    <col min="9255" max="9255" width="17.33203125" style="528" customWidth="1"/>
    <col min="9256" max="9256" width="15.5546875" style="528" customWidth="1"/>
    <col min="9257" max="9257" width="0" style="528" hidden="1"/>
    <col min="9258" max="9258" width="16.6640625" style="528" customWidth="1"/>
    <col min="9259" max="9259" width="17.44140625" style="528" customWidth="1"/>
    <col min="9260" max="9261" width="0" style="528" hidden="1"/>
    <col min="9262" max="9264" width="15.33203125" style="528" customWidth="1"/>
    <col min="9265" max="9265" width="17" style="528" customWidth="1"/>
    <col min="9266" max="9266" width="0" style="528" hidden="1"/>
    <col min="9267" max="9268" width="15.5546875" style="528" customWidth="1"/>
    <col min="9269" max="9269" width="13.6640625" style="528" customWidth="1"/>
    <col min="9270" max="9270" width="9" style="528" customWidth="1"/>
    <col min="9271" max="9271" width="49.88671875" style="528" customWidth="1"/>
    <col min="9272" max="9272" width="0" style="528" hidden="1"/>
    <col min="9273" max="9274" width="15.88671875" style="528" customWidth="1"/>
    <col min="9275" max="9275" width="14.5546875" style="528" customWidth="1"/>
    <col min="9276" max="9276" width="16.33203125" style="528" customWidth="1"/>
    <col min="9277" max="9277" width="18.109375" style="528" customWidth="1"/>
    <col min="9278" max="9278" width="14.109375" style="528" customWidth="1"/>
    <col min="9279" max="9505" width="0" style="528" hidden="1"/>
    <col min="9506" max="9506" width="7.5546875" style="528" customWidth="1"/>
    <col min="9507" max="9507" width="36.77734375" style="528" customWidth="1"/>
    <col min="9508" max="9509" width="0" style="528" hidden="1"/>
    <col min="9510" max="9510" width="16.6640625" style="528" customWidth="1"/>
    <col min="9511" max="9511" width="17.33203125" style="528" customWidth="1"/>
    <col min="9512" max="9512" width="15.5546875" style="528" customWidth="1"/>
    <col min="9513" max="9513" width="0" style="528" hidden="1"/>
    <col min="9514" max="9514" width="16.6640625" style="528" customWidth="1"/>
    <col min="9515" max="9515" width="17.44140625" style="528" customWidth="1"/>
    <col min="9516" max="9517" width="0" style="528" hidden="1"/>
    <col min="9518" max="9520" width="15.33203125" style="528" customWidth="1"/>
    <col min="9521" max="9521" width="17" style="528" customWidth="1"/>
    <col min="9522" max="9522" width="0" style="528" hidden="1"/>
    <col min="9523" max="9524" width="15.5546875" style="528" customWidth="1"/>
    <col min="9525" max="9525" width="13.6640625" style="528" customWidth="1"/>
    <col min="9526" max="9526" width="9" style="528" customWidth="1"/>
    <col min="9527" max="9527" width="49.88671875" style="528" customWidth="1"/>
    <col min="9528" max="9528" width="0" style="528" hidden="1"/>
    <col min="9529" max="9530" width="15.88671875" style="528" customWidth="1"/>
    <col min="9531" max="9531" width="14.5546875" style="528" customWidth="1"/>
    <col min="9532" max="9532" width="16.33203125" style="528" customWidth="1"/>
    <col min="9533" max="9533" width="18.109375" style="528" customWidth="1"/>
    <col min="9534" max="9534" width="14.109375" style="528" customWidth="1"/>
    <col min="9535" max="9761" width="0" style="528" hidden="1"/>
    <col min="9762" max="9762" width="7.5546875" style="528" customWidth="1"/>
    <col min="9763" max="9763" width="36.77734375" style="528" customWidth="1"/>
    <col min="9764" max="9765" width="0" style="528" hidden="1"/>
    <col min="9766" max="9766" width="16.6640625" style="528" customWidth="1"/>
    <col min="9767" max="9767" width="17.33203125" style="528" customWidth="1"/>
    <col min="9768" max="9768" width="15.5546875" style="528" customWidth="1"/>
    <col min="9769" max="9769" width="0" style="528" hidden="1"/>
    <col min="9770" max="9770" width="16.6640625" style="528" customWidth="1"/>
    <col min="9771" max="9771" width="17.44140625" style="528" customWidth="1"/>
    <col min="9772" max="9773" width="0" style="528" hidden="1"/>
    <col min="9774" max="9776" width="15.33203125" style="528" customWidth="1"/>
    <col min="9777" max="9777" width="17" style="528" customWidth="1"/>
    <col min="9778" max="9778" width="0" style="528" hidden="1"/>
    <col min="9779" max="9780" width="15.5546875" style="528" customWidth="1"/>
    <col min="9781" max="9781" width="13.6640625" style="528" customWidth="1"/>
    <col min="9782" max="9782" width="9" style="528" customWidth="1"/>
    <col min="9783" max="9783" width="49.88671875" style="528" customWidth="1"/>
    <col min="9784" max="9784" width="0" style="528" hidden="1"/>
    <col min="9785" max="9786" width="15.88671875" style="528" customWidth="1"/>
    <col min="9787" max="9787" width="14.5546875" style="528" customWidth="1"/>
    <col min="9788" max="9788" width="16.33203125" style="528" customWidth="1"/>
    <col min="9789" max="9789" width="18.109375" style="528" customWidth="1"/>
    <col min="9790" max="9790" width="14.109375" style="528" customWidth="1"/>
    <col min="9791" max="10017" width="0" style="528" hidden="1"/>
    <col min="10018" max="10018" width="7.5546875" style="528" customWidth="1"/>
    <col min="10019" max="10019" width="36.77734375" style="528" customWidth="1"/>
    <col min="10020" max="10021" width="0" style="528" hidden="1"/>
    <col min="10022" max="10022" width="16.6640625" style="528" customWidth="1"/>
    <col min="10023" max="10023" width="17.33203125" style="528" customWidth="1"/>
    <col min="10024" max="10024" width="15.5546875" style="528" customWidth="1"/>
    <col min="10025" max="10025" width="0" style="528" hidden="1"/>
    <col min="10026" max="10026" width="16.6640625" style="528" customWidth="1"/>
    <col min="10027" max="10027" width="17.44140625" style="528" customWidth="1"/>
    <col min="10028" max="10029" width="0" style="528" hidden="1"/>
    <col min="10030" max="10032" width="15.33203125" style="528" customWidth="1"/>
    <col min="10033" max="10033" width="17" style="528" customWidth="1"/>
    <col min="10034" max="10034" width="0" style="528" hidden="1"/>
    <col min="10035" max="10036" width="15.5546875" style="528" customWidth="1"/>
    <col min="10037" max="10037" width="13.6640625" style="528" customWidth="1"/>
    <col min="10038" max="10038" width="9" style="528" customWidth="1"/>
    <col min="10039" max="10039" width="49.88671875" style="528" customWidth="1"/>
    <col min="10040" max="10040" width="0" style="528" hidden="1"/>
    <col min="10041" max="10042" width="15.88671875" style="528" customWidth="1"/>
    <col min="10043" max="10043" width="14.5546875" style="528" customWidth="1"/>
    <col min="10044" max="10044" width="16.33203125" style="528" customWidth="1"/>
    <col min="10045" max="10045" width="18.109375" style="528" customWidth="1"/>
    <col min="10046" max="10046" width="14.109375" style="528" customWidth="1"/>
    <col min="10047" max="10273" width="0" style="528" hidden="1"/>
    <col min="10274" max="10274" width="7.5546875" style="528" customWidth="1"/>
    <col min="10275" max="10275" width="36.77734375" style="528" customWidth="1"/>
    <col min="10276" max="10277" width="0" style="528" hidden="1"/>
    <col min="10278" max="10278" width="16.6640625" style="528" customWidth="1"/>
    <col min="10279" max="10279" width="17.33203125" style="528" customWidth="1"/>
    <col min="10280" max="10280" width="15.5546875" style="528" customWidth="1"/>
    <col min="10281" max="10281" width="0" style="528" hidden="1"/>
    <col min="10282" max="10282" width="16.6640625" style="528" customWidth="1"/>
    <col min="10283" max="10283" width="17.44140625" style="528" customWidth="1"/>
    <col min="10284" max="10285" width="0" style="528" hidden="1"/>
    <col min="10286" max="10288" width="15.33203125" style="528" customWidth="1"/>
    <col min="10289" max="10289" width="17" style="528" customWidth="1"/>
    <col min="10290" max="10290" width="0" style="528" hidden="1"/>
    <col min="10291" max="10292" width="15.5546875" style="528" customWidth="1"/>
    <col min="10293" max="10293" width="13.6640625" style="528" customWidth="1"/>
    <col min="10294" max="10294" width="9" style="528" customWidth="1"/>
    <col min="10295" max="10295" width="49.88671875" style="528" customWidth="1"/>
    <col min="10296" max="10296" width="0" style="528" hidden="1"/>
    <col min="10297" max="10298" width="15.88671875" style="528" customWidth="1"/>
    <col min="10299" max="10299" width="14.5546875" style="528" customWidth="1"/>
    <col min="10300" max="10300" width="16.33203125" style="528" customWidth="1"/>
    <col min="10301" max="10301" width="18.109375" style="528" customWidth="1"/>
    <col min="10302" max="10302" width="14.109375" style="528" customWidth="1"/>
    <col min="10303" max="10529" width="0" style="528" hidden="1"/>
    <col min="10530" max="10530" width="7.5546875" style="528" customWidth="1"/>
    <col min="10531" max="10531" width="36.77734375" style="528" customWidth="1"/>
    <col min="10532" max="10533" width="0" style="528" hidden="1"/>
    <col min="10534" max="10534" width="16.6640625" style="528" customWidth="1"/>
    <col min="10535" max="10535" width="17.33203125" style="528" customWidth="1"/>
    <col min="10536" max="10536" width="15.5546875" style="528" customWidth="1"/>
    <col min="10537" max="10537" width="0" style="528" hidden="1"/>
    <col min="10538" max="10538" width="16.6640625" style="528" customWidth="1"/>
    <col min="10539" max="10539" width="17.44140625" style="528" customWidth="1"/>
    <col min="10540" max="10541" width="0" style="528" hidden="1"/>
    <col min="10542" max="10544" width="15.33203125" style="528" customWidth="1"/>
    <col min="10545" max="10545" width="17" style="528" customWidth="1"/>
    <col min="10546" max="10546" width="0" style="528" hidden="1"/>
    <col min="10547" max="10548" width="15.5546875" style="528" customWidth="1"/>
    <col min="10549" max="10549" width="13.6640625" style="528" customWidth="1"/>
    <col min="10550" max="10550" width="9" style="528" customWidth="1"/>
    <col min="10551" max="10551" width="49.88671875" style="528" customWidth="1"/>
    <col min="10552" max="10552" width="0" style="528" hidden="1"/>
    <col min="10553" max="10554" width="15.88671875" style="528" customWidth="1"/>
    <col min="10555" max="10555" width="14.5546875" style="528" customWidth="1"/>
    <col min="10556" max="10556" width="16.33203125" style="528" customWidth="1"/>
    <col min="10557" max="10557" width="18.109375" style="528" customWidth="1"/>
    <col min="10558" max="10558" width="14.109375" style="528" customWidth="1"/>
    <col min="10559" max="10785" width="0" style="528" hidden="1"/>
    <col min="10786" max="10786" width="7.5546875" style="528" customWidth="1"/>
    <col min="10787" max="10787" width="36.77734375" style="528" customWidth="1"/>
    <col min="10788" max="10789" width="0" style="528" hidden="1"/>
    <col min="10790" max="10790" width="16.6640625" style="528" customWidth="1"/>
    <col min="10791" max="10791" width="17.33203125" style="528" customWidth="1"/>
    <col min="10792" max="10792" width="15.5546875" style="528" customWidth="1"/>
    <col min="10793" max="10793" width="0" style="528" hidden="1"/>
    <col min="10794" max="10794" width="16.6640625" style="528" customWidth="1"/>
    <col min="10795" max="10795" width="17.44140625" style="528" customWidth="1"/>
    <col min="10796" max="10797" width="0" style="528" hidden="1"/>
    <col min="10798" max="10800" width="15.33203125" style="528" customWidth="1"/>
    <col min="10801" max="10801" width="17" style="528" customWidth="1"/>
    <col min="10802" max="10802" width="0" style="528" hidden="1"/>
    <col min="10803" max="10804" width="15.5546875" style="528" customWidth="1"/>
    <col min="10805" max="10805" width="13.6640625" style="528" customWidth="1"/>
    <col min="10806" max="10806" width="9" style="528" customWidth="1"/>
    <col min="10807" max="10807" width="49.88671875" style="528" customWidth="1"/>
    <col min="10808" max="10808" width="0" style="528" hidden="1"/>
    <col min="10809" max="10810" width="15.88671875" style="528" customWidth="1"/>
    <col min="10811" max="10811" width="14.5546875" style="528" customWidth="1"/>
    <col min="10812" max="10812" width="16.33203125" style="528" customWidth="1"/>
    <col min="10813" max="10813" width="18.109375" style="528" customWidth="1"/>
    <col min="10814" max="10814" width="14.109375" style="528" customWidth="1"/>
    <col min="10815" max="11041" width="0" style="528" hidden="1"/>
    <col min="11042" max="11042" width="7.5546875" style="528" customWidth="1"/>
    <col min="11043" max="11043" width="36.77734375" style="528" customWidth="1"/>
    <col min="11044" max="11045" width="0" style="528" hidden="1"/>
    <col min="11046" max="11046" width="16.6640625" style="528" customWidth="1"/>
    <col min="11047" max="11047" width="17.33203125" style="528" customWidth="1"/>
    <col min="11048" max="11048" width="15.5546875" style="528" customWidth="1"/>
    <col min="11049" max="11049" width="0" style="528" hidden="1"/>
    <col min="11050" max="11050" width="16.6640625" style="528" customWidth="1"/>
    <col min="11051" max="11051" width="17.44140625" style="528" customWidth="1"/>
    <col min="11052" max="11053" width="0" style="528" hidden="1"/>
    <col min="11054" max="11056" width="15.33203125" style="528" customWidth="1"/>
    <col min="11057" max="11057" width="17" style="528" customWidth="1"/>
    <col min="11058" max="11058" width="0" style="528" hidden="1"/>
    <col min="11059" max="11060" width="15.5546875" style="528" customWidth="1"/>
    <col min="11061" max="11061" width="13.6640625" style="528" customWidth="1"/>
    <col min="11062" max="11062" width="9" style="528" customWidth="1"/>
    <col min="11063" max="11063" width="49.88671875" style="528" customWidth="1"/>
    <col min="11064" max="11064" width="0" style="528" hidden="1"/>
    <col min="11065" max="11066" width="15.88671875" style="528" customWidth="1"/>
    <col min="11067" max="11067" width="14.5546875" style="528" customWidth="1"/>
    <col min="11068" max="11068" width="16.33203125" style="528" customWidth="1"/>
    <col min="11069" max="11069" width="18.109375" style="528" customWidth="1"/>
    <col min="11070" max="11070" width="14.109375" style="528" customWidth="1"/>
    <col min="11071" max="11297" width="0" style="528" hidden="1"/>
    <col min="11298" max="11298" width="7.5546875" style="528" customWidth="1"/>
    <col min="11299" max="11299" width="36.77734375" style="528" customWidth="1"/>
    <col min="11300" max="11301" width="0" style="528" hidden="1"/>
    <col min="11302" max="11302" width="16.6640625" style="528" customWidth="1"/>
    <col min="11303" max="11303" width="17.33203125" style="528" customWidth="1"/>
    <col min="11304" max="11304" width="15.5546875" style="528" customWidth="1"/>
    <col min="11305" max="11305" width="0" style="528" hidden="1"/>
    <col min="11306" max="11306" width="16.6640625" style="528" customWidth="1"/>
    <col min="11307" max="11307" width="17.44140625" style="528" customWidth="1"/>
    <col min="11308" max="11309" width="0" style="528" hidden="1"/>
    <col min="11310" max="11312" width="15.33203125" style="528" customWidth="1"/>
    <col min="11313" max="11313" width="17" style="528" customWidth="1"/>
    <col min="11314" max="11314" width="0" style="528" hidden="1"/>
    <col min="11315" max="11316" width="15.5546875" style="528" customWidth="1"/>
    <col min="11317" max="11317" width="13.6640625" style="528" customWidth="1"/>
    <col min="11318" max="11318" width="9" style="528" customWidth="1"/>
    <col min="11319" max="11319" width="49.88671875" style="528" customWidth="1"/>
    <col min="11320" max="11320" width="0" style="528" hidden="1"/>
    <col min="11321" max="11322" width="15.88671875" style="528" customWidth="1"/>
    <col min="11323" max="11323" width="14.5546875" style="528" customWidth="1"/>
    <col min="11324" max="11324" width="16.33203125" style="528" customWidth="1"/>
    <col min="11325" max="11325" width="18.109375" style="528" customWidth="1"/>
    <col min="11326" max="11326" width="14.109375" style="528" customWidth="1"/>
    <col min="11327" max="11553" width="0" style="528" hidden="1"/>
    <col min="11554" max="11554" width="7.5546875" style="528" customWidth="1"/>
    <col min="11555" max="11555" width="36.77734375" style="528" customWidth="1"/>
    <col min="11556" max="11557" width="0" style="528" hidden="1"/>
    <col min="11558" max="11558" width="16.6640625" style="528" customWidth="1"/>
    <col min="11559" max="11559" width="17.33203125" style="528" customWidth="1"/>
    <col min="11560" max="11560" width="15.5546875" style="528" customWidth="1"/>
    <col min="11561" max="11561" width="0" style="528" hidden="1"/>
    <col min="11562" max="11562" width="16.6640625" style="528" customWidth="1"/>
    <col min="11563" max="11563" width="17.44140625" style="528" customWidth="1"/>
    <col min="11564" max="11565" width="0" style="528" hidden="1"/>
    <col min="11566" max="11568" width="15.33203125" style="528" customWidth="1"/>
    <col min="11569" max="11569" width="17" style="528" customWidth="1"/>
    <col min="11570" max="11570" width="0" style="528" hidden="1"/>
    <col min="11571" max="11572" width="15.5546875" style="528" customWidth="1"/>
    <col min="11573" max="11573" width="13.6640625" style="528" customWidth="1"/>
    <col min="11574" max="11574" width="9" style="528" customWidth="1"/>
    <col min="11575" max="11575" width="49.88671875" style="528" customWidth="1"/>
    <col min="11576" max="11576" width="0" style="528" hidden="1"/>
    <col min="11577" max="11578" width="15.88671875" style="528" customWidth="1"/>
    <col min="11579" max="11579" width="14.5546875" style="528" customWidth="1"/>
    <col min="11580" max="11580" width="16.33203125" style="528" customWidth="1"/>
    <col min="11581" max="11581" width="18.109375" style="528" customWidth="1"/>
    <col min="11582" max="11582" width="14.109375" style="528" customWidth="1"/>
    <col min="11583" max="11809" width="0" style="528" hidden="1"/>
    <col min="11810" max="11810" width="7.5546875" style="528" customWidth="1"/>
    <col min="11811" max="11811" width="36.77734375" style="528" customWidth="1"/>
    <col min="11812" max="11813" width="0" style="528" hidden="1"/>
    <col min="11814" max="11814" width="16.6640625" style="528" customWidth="1"/>
    <col min="11815" max="11815" width="17.33203125" style="528" customWidth="1"/>
    <col min="11816" max="11816" width="15.5546875" style="528" customWidth="1"/>
    <col min="11817" max="11817" width="0" style="528" hidden="1"/>
    <col min="11818" max="11818" width="16.6640625" style="528" customWidth="1"/>
    <col min="11819" max="11819" width="17.44140625" style="528" customWidth="1"/>
    <col min="11820" max="11821" width="0" style="528" hidden="1"/>
    <col min="11822" max="11824" width="15.33203125" style="528" customWidth="1"/>
    <col min="11825" max="11825" width="17" style="528" customWidth="1"/>
    <col min="11826" max="11826" width="0" style="528" hidden="1"/>
    <col min="11827" max="11828" width="15.5546875" style="528" customWidth="1"/>
    <col min="11829" max="11829" width="13.6640625" style="528" customWidth="1"/>
    <col min="11830" max="11830" width="9" style="528" customWidth="1"/>
    <col min="11831" max="11831" width="49.88671875" style="528" customWidth="1"/>
    <col min="11832" max="11832" width="0" style="528" hidden="1"/>
    <col min="11833" max="11834" width="15.88671875" style="528" customWidth="1"/>
    <col min="11835" max="11835" width="14.5546875" style="528" customWidth="1"/>
    <col min="11836" max="11836" width="16.33203125" style="528" customWidth="1"/>
    <col min="11837" max="11837" width="18.109375" style="528" customWidth="1"/>
    <col min="11838" max="11838" width="14.109375" style="528" customWidth="1"/>
    <col min="11839" max="12065" width="0" style="528" hidden="1"/>
    <col min="12066" max="12066" width="7.5546875" style="528" customWidth="1"/>
    <col min="12067" max="12067" width="36.77734375" style="528" customWidth="1"/>
    <col min="12068" max="12069" width="0" style="528" hidden="1"/>
    <col min="12070" max="12070" width="16.6640625" style="528" customWidth="1"/>
    <col min="12071" max="12071" width="17.33203125" style="528" customWidth="1"/>
    <col min="12072" max="12072" width="15.5546875" style="528" customWidth="1"/>
    <col min="12073" max="12073" width="0" style="528" hidden="1"/>
    <col min="12074" max="12074" width="16.6640625" style="528" customWidth="1"/>
    <col min="12075" max="12075" width="17.44140625" style="528" customWidth="1"/>
    <col min="12076" max="12077" width="0" style="528" hidden="1"/>
    <col min="12078" max="12080" width="15.33203125" style="528" customWidth="1"/>
    <col min="12081" max="12081" width="17" style="528" customWidth="1"/>
    <col min="12082" max="12082" width="0" style="528" hidden="1"/>
    <col min="12083" max="12084" width="15.5546875" style="528" customWidth="1"/>
    <col min="12085" max="12085" width="13.6640625" style="528" customWidth="1"/>
    <col min="12086" max="12086" width="9" style="528" customWidth="1"/>
    <col min="12087" max="12087" width="49.88671875" style="528" customWidth="1"/>
    <col min="12088" max="12088" width="0" style="528" hidden="1"/>
    <col min="12089" max="12090" width="15.88671875" style="528" customWidth="1"/>
    <col min="12091" max="12091" width="14.5546875" style="528" customWidth="1"/>
    <col min="12092" max="12092" width="16.33203125" style="528" customWidth="1"/>
    <col min="12093" max="12093" width="18.109375" style="528" customWidth="1"/>
    <col min="12094" max="12094" width="14.109375" style="528" customWidth="1"/>
    <col min="12095" max="12321" width="0" style="528" hidden="1"/>
    <col min="12322" max="12322" width="7.5546875" style="528" customWidth="1"/>
    <col min="12323" max="12323" width="36.77734375" style="528" customWidth="1"/>
    <col min="12324" max="12325" width="0" style="528" hidden="1"/>
    <col min="12326" max="12326" width="16.6640625" style="528" customWidth="1"/>
    <col min="12327" max="12327" width="17.33203125" style="528" customWidth="1"/>
    <col min="12328" max="12328" width="15.5546875" style="528" customWidth="1"/>
    <col min="12329" max="12329" width="0" style="528" hidden="1"/>
    <col min="12330" max="12330" width="16.6640625" style="528" customWidth="1"/>
    <col min="12331" max="12331" width="17.44140625" style="528" customWidth="1"/>
    <col min="12332" max="12333" width="0" style="528" hidden="1"/>
    <col min="12334" max="12336" width="15.33203125" style="528" customWidth="1"/>
    <col min="12337" max="12337" width="17" style="528" customWidth="1"/>
    <col min="12338" max="12338" width="0" style="528" hidden="1"/>
    <col min="12339" max="12340" width="15.5546875" style="528" customWidth="1"/>
    <col min="12341" max="12341" width="13.6640625" style="528" customWidth="1"/>
    <col min="12342" max="12342" width="9" style="528" customWidth="1"/>
    <col min="12343" max="12343" width="49.88671875" style="528" customWidth="1"/>
    <col min="12344" max="12344" width="0" style="528" hidden="1"/>
    <col min="12345" max="12346" width="15.88671875" style="528" customWidth="1"/>
    <col min="12347" max="12347" width="14.5546875" style="528" customWidth="1"/>
    <col min="12348" max="12348" width="16.33203125" style="528" customWidth="1"/>
    <col min="12349" max="12349" width="18.109375" style="528" customWidth="1"/>
    <col min="12350" max="12350" width="14.109375" style="528" customWidth="1"/>
    <col min="12351" max="12577" width="0" style="528" hidden="1"/>
    <col min="12578" max="12578" width="7.5546875" style="528" customWidth="1"/>
    <col min="12579" max="12579" width="36.77734375" style="528" customWidth="1"/>
    <col min="12580" max="12581" width="0" style="528" hidden="1"/>
    <col min="12582" max="12582" width="16.6640625" style="528" customWidth="1"/>
    <col min="12583" max="12583" width="17.33203125" style="528" customWidth="1"/>
    <col min="12584" max="12584" width="15.5546875" style="528" customWidth="1"/>
    <col min="12585" max="12585" width="0" style="528" hidden="1"/>
    <col min="12586" max="12586" width="16.6640625" style="528" customWidth="1"/>
    <col min="12587" max="12587" width="17.44140625" style="528" customWidth="1"/>
    <col min="12588" max="12589" width="0" style="528" hidden="1"/>
    <col min="12590" max="12592" width="15.33203125" style="528" customWidth="1"/>
    <col min="12593" max="12593" width="17" style="528" customWidth="1"/>
    <col min="12594" max="12594" width="0" style="528" hidden="1"/>
    <col min="12595" max="12596" width="15.5546875" style="528" customWidth="1"/>
    <col min="12597" max="12597" width="13.6640625" style="528" customWidth="1"/>
    <col min="12598" max="12598" width="9" style="528" customWidth="1"/>
    <col min="12599" max="12599" width="49.88671875" style="528" customWidth="1"/>
    <col min="12600" max="12600" width="0" style="528" hidden="1"/>
    <col min="12601" max="12602" width="15.88671875" style="528" customWidth="1"/>
    <col min="12603" max="12603" width="14.5546875" style="528" customWidth="1"/>
    <col min="12604" max="12604" width="16.33203125" style="528" customWidth="1"/>
    <col min="12605" max="12605" width="18.109375" style="528" customWidth="1"/>
    <col min="12606" max="12606" width="14.109375" style="528" customWidth="1"/>
    <col min="12607" max="12833" width="0" style="528" hidden="1"/>
    <col min="12834" max="12834" width="7.5546875" style="528" customWidth="1"/>
    <col min="12835" max="12835" width="36.77734375" style="528" customWidth="1"/>
    <col min="12836" max="12837" width="0" style="528" hidden="1"/>
    <col min="12838" max="12838" width="16.6640625" style="528" customWidth="1"/>
    <col min="12839" max="12839" width="17.33203125" style="528" customWidth="1"/>
    <col min="12840" max="12840" width="15.5546875" style="528" customWidth="1"/>
    <col min="12841" max="12841" width="0" style="528" hidden="1"/>
    <col min="12842" max="12842" width="16.6640625" style="528" customWidth="1"/>
    <col min="12843" max="12843" width="17.44140625" style="528" customWidth="1"/>
    <col min="12844" max="12845" width="0" style="528" hidden="1"/>
    <col min="12846" max="12848" width="15.33203125" style="528" customWidth="1"/>
    <col min="12849" max="12849" width="17" style="528" customWidth="1"/>
    <col min="12850" max="12850" width="0" style="528" hidden="1"/>
    <col min="12851" max="12852" width="15.5546875" style="528" customWidth="1"/>
    <col min="12853" max="12853" width="13.6640625" style="528" customWidth="1"/>
    <col min="12854" max="12854" width="9" style="528" customWidth="1"/>
    <col min="12855" max="12855" width="49.88671875" style="528" customWidth="1"/>
    <col min="12856" max="12856" width="0" style="528" hidden="1"/>
    <col min="12857" max="12858" width="15.88671875" style="528" customWidth="1"/>
    <col min="12859" max="12859" width="14.5546875" style="528" customWidth="1"/>
    <col min="12860" max="12860" width="16.33203125" style="528" customWidth="1"/>
    <col min="12861" max="12861" width="18.109375" style="528" customWidth="1"/>
    <col min="12862" max="12862" width="14.109375" style="528" customWidth="1"/>
    <col min="12863" max="13089" width="0" style="528" hidden="1"/>
    <col min="13090" max="13090" width="7.5546875" style="528" customWidth="1"/>
    <col min="13091" max="13091" width="36.77734375" style="528" customWidth="1"/>
    <col min="13092" max="13093" width="0" style="528" hidden="1"/>
    <col min="13094" max="13094" width="16.6640625" style="528" customWidth="1"/>
    <col min="13095" max="13095" width="17.33203125" style="528" customWidth="1"/>
    <col min="13096" max="13096" width="15.5546875" style="528" customWidth="1"/>
    <col min="13097" max="13097" width="0" style="528" hidden="1"/>
    <col min="13098" max="13098" width="16.6640625" style="528" customWidth="1"/>
    <col min="13099" max="13099" width="17.44140625" style="528" customWidth="1"/>
    <col min="13100" max="13101" width="0" style="528" hidden="1"/>
    <col min="13102" max="13104" width="15.33203125" style="528" customWidth="1"/>
    <col min="13105" max="13105" width="17" style="528" customWidth="1"/>
    <col min="13106" max="13106" width="0" style="528" hidden="1"/>
    <col min="13107" max="13108" width="15.5546875" style="528" customWidth="1"/>
    <col min="13109" max="13109" width="13.6640625" style="528" customWidth="1"/>
    <col min="13110" max="13110" width="9" style="528" customWidth="1"/>
    <col min="13111" max="13111" width="49.88671875" style="528" customWidth="1"/>
    <col min="13112" max="13112" width="0" style="528" hidden="1"/>
    <col min="13113" max="13114" width="15.88671875" style="528" customWidth="1"/>
    <col min="13115" max="13115" width="14.5546875" style="528" customWidth="1"/>
    <col min="13116" max="13116" width="16.33203125" style="528" customWidth="1"/>
    <col min="13117" max="13117" width="18.109375" style="528" customWidth="1"/>
    <col min="13118" max="13118" width="14.109375" style="528" customWidth="1"/>
    <col min="13119" max="13345" width="0" style="528" hidden="1"/>
    <col min="13346" max="13346" width="7.5546875" style="528" customWidth="1"/>
    <col min="13347" max="13347" width="36.77734375" style="528" customWidth="1"/>
    <col min="13348" max="13349" width="0" style="528" hidden="1"/>
    <col min="13350" max="13350" width="16.6640625" style="528" customWidth="1"/>
    <col min="13351" max="13351" width="17.33203125" style="528" customWidth="1"/>
    <col min="13352" max="13352" width="15.5546875" style="528" customWidth="1"/>
    <col min="13353" max="13353" width="0" style="528" hidden="1"/>
    <col min="13354" max="13354" width="16.6640625" style="528" customWidth="1"/>
    <col min="13355" max="13355" width="17.44140625" style="528" customWidth="1"/>
    <col min="13356" max="13357" width="0" style="528" hidden="1"/>
    <col min="13358" max="13360" width="15.33203125" style="528" customWidth="1"/>
    <col min="13361" max="13361" width="17" style="528" customWidth="1"/>
    <col min="13362" max="13362" width="0" style="528" hidden="1"/>
    <col min="13363" max="13364" width="15.5546875" style="528" customWidth="1"/>
    <col min="13365" max="13365" width="13.6640625" style="528" customWidth="1"/>
    <col min="13366" max="13366" width="9" style="528" customWidth="1"/>
    <col min="13367" max="13367" width="49.88671875" style="528" customWidth="1"/>
    <col min="13368" max="13368" width="0" style="528" hidden="1"/>
    <col min="13369" max="13370" width="15.88671875" style="528" customWidth="1"/>
    <col min="13371" max="13371" width="14.5546875" style="528" customWidth="1"/>
    <col min="13372" max="13372" width="16.33203125" style="528" customWidth="1"/>
    <col min="13373" max="13373" width="18.109375" style="528" customWidth="1"/>
    <col min="13374" max="13374" width="14.109375" style="528" customWidth="1"/>
    <col min="13375" max="13601" width="0" style="528" hidden="1"/>
    <col min="13602" max="13602" width="7.5546875" style="528" customWidth="1"/>
    <col min="13603" max="13603" width="36.77734375" style="528" customWidth="1"/>
    <col min="13604" max="13605" width="0" style="528" hidden="1"/>
    <col min="13606" max="13606" width="16.6640625" style="528" customWidth="1"/>
    <col min="13607" max="13607" width="17.33203125" style="528" customWidth="1"/>
    <col min="13608" max="13608" width="15.5546875" style="528" customWidth="1"/>
    <col min="13609" max="13609" width="0" style="528" hidden="1"/>
    <col min="13610" max="13610" width="16.6640625" style="528" customWidth="1"/>
    <col min="13611" max="13611" width="17.44140625" style="528" customWidth="1"/>
    <col min="13612" max="13613" width="0" style="528" hidden="1"/>
    <col min="13614" max="13616" width="15.33203125" style="528" customWidth="1"/>
    <col min="13617" max="13617" width="17" style="528" customWidth="1"/>
    <col min="13618" max="13618" width="0" style="528" hidden="1"/>
    <col min="13619" max="13620" width="15.5546875" style="528" customWidth="1"/>
    <col min="13621" max="13621" width="13.6640625" style="528" customWidth="1"/>
    <col min="13622" max="13622" width="9" style="528" customWidth="1"/>
    <col min="13623" max="13623" width="49.88671875" style="528" customWidth="1"/>
    <col min="13624" max="13624" width="0" style="528" hidden="1"/>
    <col min="13625" max="13626" width="15.88671875" style="528" customWidth="1"/>
    <col min="13627" max="13627" width="14.5546875" style="528" customWidth="1"/>
    <col min="13628" max="13628" width="16.33203125" style="528" customWidth="1"/>
    <col min="13629" max="13629" width="18.109375" style="528" customWidth="1"/>
    <col min="13630" max="13630" width="14.109375" style="528" customWidth="1"/>
    <col min="13631" max="13857" width="0" style="528" hidden="1"/>
    <col min="13858" max="13858" width="7.5546875" style="528" customWidth="1"/>
    <col min="13859" max="13859" width="36.77734375" style="528" customWidth="1"/>
    <col min="13860" max="13861" width="0" style="528" hidden="1"/>
    <col min="13862" max="13862" width="16.6640625" style="528" customWidth="1"/>
    <col min="13863" max="13863" width="17.33203125" style="528" customWidth="1"/>
    <col min="13864" max="13864" width="15.5546875" style="528" customWidth="1"/>
    <col min="13865" max="13865" width="0" style="528" hidden="1"/>
    <col min="13866" max="13866" width="16.6640625" style="528" customWidth="1"/>
    <col min="13867" max="13867" width="17.44140625" style="528" customWidth="1"/>
    <col min="13868" max="13869" width="0" style="528" hidden="1"/>
    <col min="13870" max="13872" width="15.33203125" style="528" customWidth="1"/>
    <col min="13873" max="13873" width="17" style="528" customWidth="1"/>
    <col min="13874" max="13874" width="0" style="528" hidden="1"/>
    <col min="13875" max="13876" width="15.5546875" style="528" customWidth="1"/>
    <col min="13877" max="13877" width="13.6640625" style="528" customWidth="1"/>
    <col min="13878" max="13878" width="9" style="528" customWidth="1"/>
    <col min="13879" max="13879" width="49.88671875" style="528" customWidth="1"/>
    <col min="13880" max="13880" width="0" style="528" hidden="1"/>
    <col min="13881" max="13882" width="15.88671875" style="528" customWidth="1"/>
    <col min="13883" max="13883" width="14.5546875" style="528" customWidth="1"/>
    <col min="13884" max="13884" width="16.33203125" style="528" customWidth="1"/>
    <col min="13885" max="13885" width="18.109375" style="528" customWidth="1"/>
    <col min="13886" max="13886" width="14.109375" style="528" customWidth="1"/>
    <col min="13887" max="14113" width="0" style="528" hidden="1"/>
    <col min="14114" max="14114" width="7.5546875" style="528" customWidth="1"/>
    <col min="14115" max="14115" width="36.77734375" style="528" customWidth="1"/>
    <col min="14116" max="14117" width="0" style="528" hidden="1"/>
    <col min="14118" max="14118" width="16.6640625" style="528" customWidth="1"/>
    <col min="14119" max="14119" width="17.33203125" style="528" customWidth="1"/>
    <col min="14120" max="14120" width="15.5546875" style="528" customWidth="1"/>
    <col min="14121" max="14121" width="0" style="528" hidden="1"/>
    <col min="14122" max="14122" width="16.6640625" style="528" customWidth="1"/>
    <col min="14123" max="14123" width="17.44140625" style="528" customWidth="1"/>
    <col min="14124" max="14125" width="0" style="528" hidden="1"/>
    <col min="14126" max="14128" width="15.33203125" style="528" customWidth="1"/>
    <col min="14129" max="14129" width="17" style="528" customWidth="1"/>
    <col min="14130" max="14130" width="0" style="528" hidden="1"/>
    <col min="14131" max="14132" width="15.5546875" style="528" customWidth="1"/>
    <col min="14133" max="14133" width="13.6640625" style="528" customWidth="1"/>
    <col min="14134" max="14134" width="9" style="528" customWidth="1"/>
    <col min="14135" max="14135" width="49.88671875" style="528" customWidth="1"/>
    <col min="14136" max="14136" width="0" style="528" hidden="1"/>
    <col min="14137" max="14138" width="15.88671875" style="528" customWidth="1"/>
    <col min="14139" max="14139" width="14.5546875" style="528" customWidth="1"/>
    <col min="14140" max="14140" width="16.33203125" style="528" customWidth="1"/>
    <col min="14141" max="14141" width="18.109375" style="528" customWidth="1"/>
    <col min="14142" max="14142" width="14.109375" style="528" customWidth="1"/>
    <col min="14143" max="14369" width="0" style="528" hidden="1"/>
    <col min="14370" max="14370" width="7.5546875" style="528" customWidth="1"/>
    <col min="14371" max="14371" width="36.77734375" style="528" customWidth="1"/>
    <col min="14372" max="14373" width="0" style="528" hidden="1"/>
    <col min="14374" max="14374" width="16.6640625" style="528" customWidth="1"/>
    <col min="14375" max="14375" width="17.33203125" style="528" customWidth="1"/>
    <col min="14376" max="14376" width="15.5546875" style="528" customWidth="1"/>
    <col min="14377" max="14377" width="0" style="528" hidden="1"/>
    <col min="14378" max="14378" width="16.6640625" style="528" customWidth="1"/>
    <col min="14379" max="14379" width="17.44140625" style="528" customWidth="1"/>
    <col min="14380" max="14381" width="0" style="528" hidden="1"/>
    <col min="14382" max="14384" width="15.33203125" style="528" customWidth="1"/>
    <col min="14385" max="14385" width="17" style="528" customWidth="1"/>
    <col min="14386" max="14386" width="0" style="528" hidden="1"/>
    <col min="14387" max="14388" width="15.5546875" style="528" customWidth="1"/>
    <col min="14389" max="14389" width="13.6640625" style="528" customWidth="1"/>
    <col min="14390" max="14390" width="9" style="528" customWidth="1"/>
    <col min="14391" max="14391" width="49.88671875" style="528" customWidth="1"/>
    <col min="14392" max="14392" width="0" style="528" hidden="1"/>
    <col min="14393" max="14394" width="15.88671875" style="528" customWidth="1"/>
    <col min="14395" max="14395" width="14.5546875" style="528" customWidth="1"/>
    <col min="14396" max="14396" width="16.33203125" style="528" customWidth="1"/>
    <col min="14397" max="14397" width="18.109375" style="528" customWidth="1"/>
    <col min="14398" max="14398" width="14.109375" style="528" customWidth="1"/>
    <col min="14399" max="14625" width="0" style="528" hidden="1"/>
    <col min="14626" max="14626" width="7.5546875" style="528" customWidth="1"/>
    <col min="14627" max="14627" width="36.77734375" style="528" customWidth="1"/>
    <col min="14628" max="14629" width="0" style="528" hidden="1"/>
    <col min="14630" max="14630" width="16.6640625" style="528" customWidth="1"/>
    <col min="14631" max="14631" width="17.33203125" style="528" customWidth="1"/>
    <col min="14632" max="14632" width="15.5546875" style="528" customWidth="1"/>
    <col min="14633" max="14633" width="0" style="528" hidden="1"/>
    <col min="14634" max="14634" width="16.6640625" style="528" customWidth="1"/>
    <col min="14635" max="14635" width="17.44140625" style="528" customWidth="1"/>
    <col min="14636" max="14637" width="0" style="528" hidden="1"/>
    <col min="14638" max="14640" width="15.33203125" style="528" customWidth="1"/>
    <col min="14641" max="14641" width="17" style="528" customWidth="1"/>
    <col min="14642" max="14642" width="0" style="528" hidden="1"/>
    <col min="14643" max="14644" width="15.5546875" style="528" customWidth="1"/>
    <col min="14645" max="14645" width="13.6640625" style="528" customWidth="1"/>
    <col min="14646" max="14646" width="9" style="528" customWidth="1"/>
    <col min="14647" max="14647" width="49.88671875" style="528" customWidth="1"/>
    <col min="14648" max="14648" width="0" style="528" hidden="1"/>
    <col min="14649" max="14650" width="15.88671875" style="528" customWidth="1"/>
    <col min="14651" max="14651" width="14.5546875" style="528" customWidth="1"/>
    <col min="14652" max="14652" width="16.33203125" style="528" customWidth="1"/>
    <col min="14653" max="14653" width="18.109375" style="528" customWidth="1"/>
    <col min="14654" max="14654" width="14.109375" style="528" customWidth="1"/>
    <col min="14655" max="14881" width="0" style="528" hidden="1"/>
    <col min="14882" max="14882" width="7.5546875" style="528" customWidth="1"/>
    <col min="14883" max="14883" width="36.77734375" style="528" customWidth="1"/>
    <col min="14884" max="14885" width="0" style="528" hidden="1"/>
    <col min="14886" max="14886" width="16.6640625" style="528" customWidth="1"/>
    <col min="14887" max="14887" width="17.33203125" style="528" customWidth="1"/>
    <col min="14888" max="14888" width="15.5546875" style="528" customWidth="1"/>
    <col min="14889" max="14889" width="0" style="528" hidden="1"/>
    <col min="14890" max="14890" width="16.6640625" style="528" customWidth="1"/>
    <col min="14891" max="14891" width="17.44140625" style="528" customWidth="1"/>
    <col min="14892" max="14893" width="0" style="528" hidden="1"/>
    <col min="14894" max="14896" width="15.33203125" style="528" customWidth="1"/>
    <col min="14897" max="14897" width="17" style="528" customWidth="1"/>
    <col min="14898" max="14898" width="0" style="528" hidden="1"/>
    <col min="14899" max="14900" width="15.5546875" style="528" customWidth="1"/>
    <col min="14901" max="14901" width="13.6640625" style="528" customWidth="1"/>
    <col min="14902" max="14902" width="9" style="528" customWidth="1"/>
    <col min="14903" max="14903" width="49.88671875" style="528" customWidth="1"/>
    <col min="14904" max="14904" width="0" style="528" hidden="1"/>
    <col min="14905" max="14906" width="15.88671875" style="528" customWidth="1"/>
    <col min="14907" max="14907" width="14.5546875" style="528" customWidth="1"/>
    <col min="14908" max="14908" width="16.33203125" style="528" customWidth="1"/>
    <col min="14909" max="14909" width="18.109375" style="528" customWidth="1"/>
    <col min="14910" max="14910" width="14.109375" style="528" customWidth="1"/>
    <col min="14911" max="15137" width="0" style="528" hidden="1"/>
    <col min="15138" max="15138" width="7.5546875" style="528" customWidth="1"/>
    <col min="15139" max="15139" width="36.77734375" style="528" customWidth="1"/>
    <col min="15140" max="15141" width="0" style="528" hidden="1"/>
    <col min="15142" max="15142" width="16.6640625" style="528" customWidth="1"/>
    <col min="15143" max="15143" width="17.33203125" style="528" customWidth="1"/>
    <col min="15144" max="15144" width="15.5546875" style="528" customWidth="1"/>
    <col min="15145" max="15145" width="0" style="528" hidden="1"/>
    <col min="15146" max="15146" width="16.6640625" style="528" customWidth="1"/>
    <col min="15147" max="15147" width="17.44140625" style="528" customWidth="1"/>
    <col min="15148" max="15149" width="0" style="528" hidden="1"/>
    <col min="15150" max="15152" width="15.33203125" style="528" customWidth="1"/>
    <col min="15153" max="15153" width="17" style="528" customWidth="1"/>
    <col min="15154" max="15154" width="0" style="528" hidden="1"/>
    <col min="15155" max="15156" width="15.5546875" style="528" customWidth="1"/>
    <col min="15157" max="15157" width="13.6640625" style="528" customWidth="1"/>
    <col min="15158" max="15158" width="9" style="528" customWidth="1"/>
    <col min="15159" max="15159" width="49.88671875" style="528" customWidth="1"/>
    <col min="15160" max="15160" width="0" style="528" hidden="1"/>
    <col min="15161" max="15162" width="15.88671875" style="528" customWidth="1"/>
    <col min="15163" max="15163" width="14.5546875" style="528" customWidth="1"/>
    <col min="15164" max="15164" width="16.33203125" style="528" customWidth="1"/>
    <col min="15165" max="15165" width="18.109375" style="528" customWidth="1"/>
    <col min="15166" max="15166" width="14.109375" style="528" customWidth="1"/>
    <col min="15167" max="15393" width="0" style="528" hidden="1"/>
    <col min="15394" max="15394" width="7.5546875" style="528" customWidth="1"/>
    <col min="15395" max="15395" width="36.77734375" style="528" customWidth="1"/>
    <col min="15396" max="15397" width="0" style="528" hidden="1"/>
    <col min="15398" max="15398" width="16.6640625" style="528" customWidth="1"/>
    <col min="15399" max="15399" width="17.33203125" style="528" customWidth="1"/>
    <col min="15400" max="15400" width="15.5546875" style="528" customWidth="1"/>
    <col min="15401" max="15401" width="0" style="528" hidden="1"/>
    <col min="15402" max="15402" width="16.6640625" style="528" customWidth="1"/>
    <col min="15403" max="15403" width="17.44140625" style="528" customWidth="1"/>
    <col min="15404" max="15405" width="0" style="528" hidden="1"/>
    <col min="15406" max="15408" width="15.33203125" style="528" customWidth="1"/>
    <col min="15409" max="15409" width="17" style="528" customWidth="1"/>
    <col min="15410" max="15410" width="0" style="528" hidden="1"/>
    <col min="15411" max="15412" width="15.5546875" style="528" customWidth="1"/>
    <col min="15413" max="15413" width="13.6640625" style="528" customWidth="1"/>
    <col min="15414" max="15414" width="9" style="528" customWidth="1"/>
    <col min="15415" max="15415" width="49.88671875" style="528" customWidth="1"/>
    <col min="15416" max="15416" width="0" style="528" hidden="1"/>
    <col min="15417" max="15418" width="15.88671875" style="528" customWidth="1"/>
    <col min="15419" max="15419" width="14.5546875" style="528" customWidth="1"/>
    <col min="15420" max="15420" width="16.33203125" style="528" customWidth="1"/>
    <col min="15421" max="15421" width="18.109375" style="528" customWidth="1"/>
    <col min="15422" max="15422" width="14.109375" style="528" customWidth="1"/>
    <col min="15423" max="15649" width="0" style="528" hidden="1"/>
    <col min="15650" max="15650" width="7.5546875" style="528" customWidth="1"/>
    <col min="15651" max="15651" width="36.77734375" style="528" customWidth="1"/>
    <col min="15652" max="15653" width="0" style="528" hidden="1"/>
    <col min="15654" max="15654" width="16.6640625" style="528" customWidth="1"/>
    <col min="15655" max="15655" width="17.33203125" style="528" customWidth="1"/>
    <col min="15656" max="15656" width="15.5546875" style="528" customWidth="1"/>
    <col min="15657" max="15657" width="0" style="528" hidden="1"/>
    <col min="15658" max="15658" width="16.6640625" style="528" customWidth="1"/>
    <col min="15659" max="15659" width="17.44140625" style="528" customWidth="1"/>
    <col min="15660" max="15661" width="0" style="528" hidden="1"/>
    <col min="15662" max="15664" width="15.33203125" style="528" customWidth="1"/>
    <col min="15665" max="15665" width="17" style="528" customWidth="1"/>
    <col min="15666" max="15666" width="0" style="528" hidden="1"/>
    <col min="15667" max="15668" width="15.5546875" style="528" customWidth="1"/>
    <col min="15669" max="15669" width="13.6640625" style="528" customWidth="1"/>
    <col min="15670" max="15670" width="9" style="528" customWidth="1"/>
    <col min="15671" max="15671" width="49.88671875" style="528" customWidth="1"/>
    <col min="15672" max="15672" width="0" style="528" hidden="1"/>
    <col min="15673" max="15674" width="15.88671875" style="528" customWidth="1"/>
    <col min="15675" max="15675" width="14.5546875" style="528" customWidth="1"/>
    <col min="15676" max="15676" width="16.33203125" style="528" customWidth="1"/>
    <col min="15677" max="15677" width="18.109375" style="528" customWidth="1"/>
    <col min="15678" max="15678" width="14.109375" style="528" customWidth="1"/>
    <col min="15679" max="15905" width="0" style="528" hidden="1"/>
    <col min="15906" max="15906" width="7.5546875" style="528" customWidth="1"/>
    <col min="15907" max="15907" width="36.77734375" style="528" customWidth="1"/>
    <col min="15908" max="15909" width="0" style="528" hidden="1"/>
    <col min="15910" max="15910" width="16.6640625" style="528" customWidth="1"/>
    <col min="15911" max="15911" width="17.33203125" style="528" customWidth="1"/>
    <col min="15912" max="15912" width="15.5546875" style="528" customWidth="1"/>
    <col min="15913" max="15913" width="0" style="528" hidden="1"/>
    <col min="15914" max="15914" width="16.6640625" style="528" customWidth="1"/>
    <col min="15915" max="15915" width="17.44140625" style="528" customWidth="1"/>
    <col min="15916" max="15917" width="0" style="528" hidden="1"/>
    <col min="15918" max="15920" width="15.33203125" style="528" customWidth="1"/>
    <col min="15921" max="15921" width="17" style="528" customWidth="1"/>
    <col min="15922" max="15922" width="0" style="528" hidden="1"/>
    <col min="15923" max="15924" width="15.5546875" style="528" customWidth="1"/>
    <col min="15925" max="15925" width="13.6640625" style="528" customWidth="1"/>
    <col min="15926" max="15926" width="9" style="528" customWidth="1"/>
    <col min="15927" max="15927" width="49.88671875" style="528" customWidth="1"/>
    <col min="15928" max="15928" width="0" style="528" hidden="1"/>
    <col min="15929" max="15930" width="15.88671875" style="528" customWidth="1"/>
    <col min="15931" max="15931" width="14.5546875" style="528" customWidth="1"/>
    <col min="15932" max="15932" width="16.33203125" style="528" customWidth="1"/>
    <col min="15933" max="15933" width="18.109375" style="528" customWidth="1"/>
    <col min="15934" max="15934" width="14.109375" style="528" customWidth="1"/>
    <col min="15935" max="16384" width="0" style="528" hidden="1"/>
  </cols>
  <sheetData>
    <row r="1" spans="1:40" ht="24.45" customHeight="1">
      <c r="A1" s="801" t="s">
        <v>306</v>
      </c>
      <c r="B1" s="801"/>
      <c r="C1" s="801"/>
      <c r="D1" s="801"/>
      <c r="E1" s="801"/>
      <c r="F1" s="801"/>
      <c r="G1" s="801"/>
      <c r="H1" s="801"/>
      <c r="I1" s="801"/>
      <c r="J1" s="801"/>
      <c r="K1" s="801"/>
      <c r="L1" s="801"/>
      <c r="M1" s="801"/>
      <c r="N1" s="801"/>
      <c r="O1" s="526"/>
      <c r="P1" s="527"/>
      <c r="Q1" s="662"/>
      <c r="R1" s="662"/>
      <c r="S1" s="662"/>
      <c r="T1" s="662"/>
      <c r="U1" s="662"/>
      <c r="V1" s="420"/>
      <c r="W1" s="594"/>
      <c r="X1" s="594"/>
      <c r="Y1" s="420"/>
      <c r="Z1" s="420"/>
      <c r="AA1" s="594"/>
      <c r="AB1" s="525"/>
      <c r="AC1" s="525"/>
      <c r="AD1" s="526"/>
      <c r="AE1" s="420"/>
      <c r="AF1" s="594"/>
      <c r="AG1" s="594"/>
      <c r="AH1" s="420"/>
      <c r="AI1" s="420"/>
      <c r="AJ1" s="525"/>
      <c r="AK1" s="525"/>
      <c r="AL1" s="525"/>
      <c r="AM1" s="603"/>
      <c r="AN1" s="603"/>
    </row>
    <row r="2" spans="1:40" ht="24.45" customHeight="1">
      <c r="A2" s="712" t="s">
        <v>259</v>
      </c>
      <c r="B2" s="530"/>
      <c r="C2" s="529"/>
      <c r="D2" s="529"/>
      <c r="E2" s="529"/>
      <c r="F2" s="529"/>
      <c r="G2" s="531"/>
      <c r="H2" s="649"/>
      <c r="I2" s="532"/>
      <c r="J2" s="533"/>
      <c r="K2" s="533"/>
      <c r="L2" s="534"/>
      <c r="M2" s="534"/>
      <c r="N2" s="533"/>
      <c r="O2" s="533"/>
      <c r="P2" s="535"/>
      <c r="Q2" s="663"/>
      <c r="R2" s="663"/>
      <c r="S2" s="663"/>
      <c r="T2" s="663"/>
      <c r="U2" s="663"/>
      <c r="V2" s="421"/>
      <c r="W2" s="595"/>
      <c r="X2" s="595"/>
      <c r="Y2" s="421"/>
      <c r="Z2" s="421"/>
      <c r="AA2" s="595"/>
      <c r="AB2" s="604"/>
      <c r="AC2" s="529"/>
      <c r="AD2" s="533"/>
      <c r="AE2" s="421"/>
      <c r="AF2" s="595"/>
      <c r="AG2" s="595"/>
      <c r="AH2" s="421"/>
      <c r="AI2" s="421"/>
      <c r="AJ2" s="529"/>
      <c r="AK2" s="529"/>
      <c r="AL2" s="529"/>
      <c r="AM2" s="605"/>
      <c r="AN2" s="605"/>
    </row>
    <row r="3" spans="1:40" ht="24.45" customHeight="1" thickBot="1">
      <c r="A3" s="593" t="s">
        <v>43</v>
      </c>
      <c r="B3" s="537"/>
      <c r="C3" s="536"/>
      <c r="D3" s="537"/>
      <c r="E3" s="537"/>
      <c r="F3" s="537"/>
      <c r="G3" s="538"/>
      <c r="I3" s="539"/>
      <c r="J3" s="540"/>
      <c r="K3" s="540"/>
      <c r="L3" s="541"/>
      <c r="M3" s="541"/>
      <c r="N3" s="540"/>
      <c r="O3" s="540"/>
      <c r="V3" s="423" t="s">
        <v>212</v>
      </c>
      <c r="W3" s="424" t="s">
        <v>213</v>
      </c>
      <c r="X3" s="611">
        <v>0.03</v>
      </c>
      <c r="Y3" s="425"/>
      <c r="Z3" s="422"/>
      <c r="AA3" s="422"/>
      <c r="AB3" s="609">
        <v>0.05</v>
      </c>
      <c r="AC3" s="609">
        <v>0.1</v>
      </c>
      <c r="AD3" s="540"/>
      <c r="AE3" s="423" t="s">
        <v>212</v>
      </c>
      <c r="AF3" s="424" t="s">
        <v>213</v>
      </c>
      <c r="AG3" s="611">
        <v>0.03</v>
      </c>
      <c r="AH3" s="422"/>
      <c r="AI3" s="632">
        <v>0.25</v>
      </c>
      <c r="AJ3" s="606"/>
      <c r="AK3" s="607"/>
      <c r="AL3" s="607"/>
      <c r="AM3" s="608"/>
      <c r="AN3" s="610"/>
    </row>
    <row r="4" spans="1:40" ht="26.4" customHeight="1">
      <c r="A4" s="544"/>
      <c r="B4" s="537"/>
      <c r="C4" s="544"/>
      <c r="D4" s="537"/>
      <c r="E4" s="537"/>
      <c r="F4" s="537"/>
      <c r="G4" s="538"/>
      <c r="I4" s="539"/>
      <c r="J4" s="540"/>
      <c r="K4" s="540"/>
      <c r="L4" s="538"/>
      <c r="M4" s="538"/>
      <c r="N4" s="540"/>
      <c r="O4" s="540"/>
      <c r="Q4" s="810" t="s">
        <v>248</v>
      </c>
      <c r="R4" s="811"/>
      <c r="S4" s="811"/>
      <c r="T4" s="811"/>
      <c r="U4" s="812"/>
      <c r="V4" s="805" t="s">
        <v>281</v>
      </c>
      <c r="W4" s="805"/>
      <c r="X4" s="805"/>
      <c r="Y4" s="805"/>
      <c r="Z4" s="805"/>
      <c r="AA4" s="805"/>
      <c r="AB4" s="805"/>
      <c r="AC4" s="805"/>
      <c r="AD4" s="806"/>
      <c r="AE4" s="807" t="s">
        <v>282</v>
      </c>
      <c r="AF4" s="808"/>
      <c r="AG4" s="808"/>
      <c r="AH4" s="808"/>
      <c r="AI4" s="809"/>
      <c r="AJ4" s="606"/>
      <c r="AK4" s="607"/>
      <c r="AL4" s="607"/>
      <c r="AM4" s="608"/>
      <c r="AN4" s="610"/>
    </row>
    <row r="5" spans="1:40" ht="24.6" customHeight="1" thickBot="1">
      <c r="A5" s="545" t="s">
        <v>212</v>
      </c>
      <c r="B5" s="545" t="s">
        <v>212</v>
      </c>
      <c r="C5" s="545" t="s">
        <v>212</v>
      </c>
      <c r="D5" s="545" t="s">
        <v>212</v>
      </c>
      <c r="E5" s="545" t="s">
        <v>212</v>
      </c>
      <c r="F5" s="545" t="s">
        <v>213</v>
      </c>
      <c r="G5" s="545" t="s">
        <v>212</v>
      </c>
      <c r="I5" s="545" t="s">
        <v>212</v>
      </c>
      <c r="J5" s="545" t="s">
        <v>212</v>
      </c>
      <c r="L5" s="546" t="s">
        <v>213</v>
      </c>
      <c r="M5" s="547">
        <v>0.03</v>
      </c>
      <c r="N5" s="540"/>
      <c r="O5" s="540"/>
      <c r="P5" s="539">
        <v>12</v>
      </c>
      <c r="Q5" s="802"/>
      <c r="R5" s="803"/>
      <c r="S5" s="803"/>
      <c r="T5" s="803"/>
      <c r="U5" s="804"/>
      <c r="V5" s="799" t="s">
        <v>280</v>
      </c>
      <c r="W5" s="799"/>
      <c r="X5" s="799"/>
      <c r="Y5" s="799"/>
      <c r="Z5" s="799"/>
      <c r="AA5" s="799"/>
      <c r="AB5" s="799"/>
      <c r="AC5" s="799"/>
      <c r="AD5" s="800"/>
      <c r="AE5" s="796" t="s">
        <v>145</v>
      </c>
      <c r="AF5" s="797"/>
      <c r="AG5" s="797"/>
      <c r="AH5" s="797"/>
      <c r="AI5" s="798"/>
      <c r="AJ5" s="606"/>
      <c r="AK5" s="607"/>
      <c r="AL5" s="607"/>
      <c r="AM5" s="608"/>
      <c r="AN5" s="610"/>
    </row>
    <row r="6" spans="1:40" s="551" customFormat="1" ht="98.4" customHeight="1" thickBot="1">
      <c r="A6" s="706" t="s">
        <v>0</v>
      </c>
      <c r="B6" s="769" t="s">
        <v>188</v>
      </c>
      <c r="C6" s="706" t="s">
        <v>39</v>
      </c>
      <c r="D6" s="707" t="s">
        <v>1</v>
      </c>
      <c r="E6" s="708" t="s">
        <v>6</v>
      </c>
      <c r="F6" s="709" t="s">
        <v>44</v>
      </c>
      <c r="G6" s="710" t="s">
        <v>169</v>
      </c>
      <c r="H6" s="767" t="s">
        <v>245</v>
      </c>
      <c r="I6" s="704" t="s">
        <v>36</v>
      </c>
      <c r="J6" s="705" t="s">
        <v>207</v>
      </c>
      <c r="K6" s="705" t="s">
        <v>307</v>
      </c>
      <c r="L6" s="598" t="s">
        <v>216</v>
      </c>
      <c r="M6" s="598" t="s">
        <v>211</v>
      </c>
      <c r="N6" s="703" t="s">
        <v>140</v>
      </c>
      <c r="O6" s="548" t="s">
        <v>218</v>
      </c>
      <c r="P6" s="760" t="s">
        <v>197</v>
      </c>
      <c r="Q6" s="771" t="s">
        <v>301</v>
      </c>
      <c r="R6" s="772" t="s">
        <v>302</v>
      </c>
      <c r="S6" s="773" t="s">
        <v>303</v>
      </c>
      <c r="T6" s="773" t="s">
        <v>304</v>
      </c>
      <c r="U6" s="774" t="s">
        <v>305</v>
      </c>
      <c r="V6" s="702" t="s">
        <v>217</v>
      </c>
      <c r="W6" s="693" t="s">
        <v>215</v>
      </c>
      <c r="X6" s="693" t="s">
        <v>214</v>
      </c>
      <c r="Y6" s="692" t="s">
        <v>134</v>
      </c>
      <c r="Z6" s="694" t="s">
        <v>135</v>
      </c>
      <c r="AA6" s="694" t="s">
        <v>136</v>
      </c>
      <c r="AB6" s="695" t="s">
        <v>137</v>
      </c>
      <c r="AC6" s="695" t="s">
        <v>138</v>
      </c>
      <c r="AD6" s="696" t="s">
        <v>219</v>
      </c>
      <c r="AE6" s="700" t="s">
        <v>145</v>
      </c>
      <c r="AF6" s="693" t="s">
        <v>222</v>
      </c>
      <c r="AG6" s="693" t="s">
        <v>223</v>
      </c>
      <c r="AH6" s="692" t="s">
        <v>139</v>
      </c>
      <c r="AI6" s="696" t="s">
        <v>220</v>
      </c>
      <c r="AJ6" s="701" t="s">
        <v>283</v>
      </c>
      <c r="AK6" s="549" t="s">
        <v>38</v>
      </c>
      <c r="AL6" s="550" t="s">
        <v>42</v>
      </c>
      <c r="AM6" s="550" t="s">
        <v>7</v>
      </c>
      <c r="AN6" s="679" t="s">
        <v>231</v>
      </c>
    </row>
    <row r="7" spans="1:40" s="584" customFormat="1" ht="27" customHeight="1">
      <c r="A7" s="624">
        <v>1</v>
      </c>
      <c r="B7" s="770">
        <v>45566</v>
      </c>
      <c r="C7" s="625">
        <v>120000068809</v>
      </c>
      <c r="D7" s="672" t="s">
        <v>170</v>
      </c>
      <c r="E7" s="626" t="s">
        <v>73</v>
      </c>
      <c r="F7" s="626" t="s">
        <v>45</v>
      </c>
      <c r="G7" s="627">
        <v>24</v>
      </c>
      <c r="H7" s="768">
        <v>6.6000000000000003E-2</v>
      </c>
      <c r="I7" s="630">
        <v>45566</v>
      </c>
      <c r="J7" s="628">
        <v>2500</v>
      </c>
      <c r="K7" s="628"/>
      <c r="L7" s="599"/>
      <c r="M7" s="600">
        <f>IF(Table1351452010[[#This Row],[หัก ณ ที่จ่าย
(ค่าบริการ)]]="มี",Table1351452010[[#This Row],[ค่าบริการเฉลี่ยต่อเดือน]]*3%,0)</f>
        <v>0</v>
      </c>
      <c r="N7" s="552">
        <f>(Table1351452010[[#This Row],[ค่าบริการเฉลี่ยต่อเดือน]]-Table1351452010[[#This Row],[ต้นทุนช่องรายการ
(ถ้ามี)]]-Table1351452010[[#This Row],[มูลค่าหัก 3%]])</f>
        <v>2500</v>
      </c>
      <c r="O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3960</v>
      </c>
      <c r="P7" s="761">
        <f>Table1351452010[[#This Row],[ระยะเวลาสัญญา
(เดือน)]]/$P$5</f>
        <v>2</v>
      </c>
      <c r="Q7" s="762">
        <f>3960/2</f>
        <v>1980</v>
      </c>
      <c r="R7" s="763">
        <v>1980</v>
      </c>
      <c r="S7" s="763"/>
      <c r="T7" s="763"/>
      <c r="U7" s="764"/>
      <c r="V7" s="684">
        <v>0</v>
      </c>
      <c r="W7" s="685"/>
      <c r="X7" s="686">
        <f>IF(Table1351452010[[#This Row],[หัก ณ ที่จ่าย
(ค่าติตั้ง)]]="มี",Table1351452010[[#This Row],[ค่าเชื่อมสัญญาณ/
ค่าติดตั้ง/
ค่าขายอุปกรณ์]]*$X$4,0)</f>
        <v>0</v>
      </c>
      <c r="Y7" s="687">
        <f>Table1351452010[[#This Row],[ค่าเชื่อมสัญญาณ/
ค่าติดตั้ง/
ค่าขายอุปกรณ์]]-Table1351452010[[#This Row],[มูลค่าหัก 3%
(ค่าติดตั้ง)]]</f>
        <v>0</v>
      </c>
      <c r="Z7" s="688">
        <v>0</v>
      </c>
      <c r="AA7" s="689">
        <f>Table1351452010[[#This Row],[ค่าเชื่อมสัญญาณ/
ค่าติดตั้ง/
ค่าขายอุปกรณ์
(เรียกเก็บสุทธิ)]]-Table1351452010[[#This Row],[ต้นทุน]]</f>
        <v>0</v>
      </c>
      <c r="AB7" s="690" t="str">
        <f>IF(Table1351452010[[#This Row],[ส่วนต่างกำไร]]&lt;(Table1351452010[[#This Row],[ต้นทุน]]*5%),Table1351452010[[#This Row],[ค่าเชื่อมสัญญาณ/
ค่าติดตั้ง/
ค่าขายอุปกรณ์
(เรียกเก็บสุทธิ)]]*$AB$3,"0")</f>
        <v>0</v>
      </c>
      <c r="AC7" s="690">
        <f>IF(Table1351452010[[#This Row],[ส่วนต่างกำไร]]&gt;=(Table1351452010[[#This Row],[ต้นทุน]]*5%),Table1351452010[[#This Row],[ค่าเชื่อมสัญญาณ/
ค่าติดตั้ง/
ค่าขายอุปกรณ์
(เรียกเก็บสุทธิ)]]*$AC$3,"0")</f>
        <v>0</v>
      </c>
      <c r="AD7" s="691">
        <f>SUM(Table1351452010[[#This Row],[คอมฯ
 5%]:[คอมฯ
10%]])</f>
        <v>0</v>
      </c>
      <c r="AE7" s="631">
        <v>0</v>
      </c>
      <c r="AF7" s="685"/>
      <c r="AG7" s="697">
        <f>IF(Table1351452010[[#This Row],[หัก ณ ที่จ่าย
(ค่าเชื่อมสัญญาณ)]]="มี",Table1351452010[[#This Row],[ค่าเชื่อมสัญญาณ]]*$AG$4,0)</f>
        <v>0</v>
      </c>
      <c r="AH7" s="698">
        <f>Table1351452010[[#This Row],[ค่าเชื่อมสัญญาณ]]-Table1351452010[[#This Row],[มูลค่าหัก 3%
(ค่าเชื่อมสัญญาณ)]]</f>
        <v>0</v>
      </c>
      <c r="AI7" s="699">
        <f>Table1351452010[[#This Row],[ค่าเชื่อมสัญญาณ
(เรียกเก็บสุทธิ)]]*$AI$3</f>
        <v>0</v>
      </c>
      <c r="AJ7" s="554">
        <f>Table1351452010[[#This Row],[สั่งจ่ายปีที่1]]+Table1351452010[[#This Row],[Total
ค่าเชื่มสัญญาณ/ค่าติดตั้ง/
ค่าขายอุปกรณ์
(2)]]+Table1351452010[[#This Row],[Total 
คอมฯค่าเชื่อมสัญญาณ
(3)]]</f>
        <v>1980</v>
      </c>
      <c r="AK7" s="555"/>
      <c r="AL7" s="555"/>
      <c r="AM7" s="556"/>
      <c r="AN7" s="680" t="s">
        <v>246</v>
      </c>
    </row>
    <row r="8" spans="1:40" s="584" customFormat="1" ht="27" customHeight="1">
      <c r="A8" s="557">
        <v>8.1928571428571502</v>
      </c>
      <c r="B8" s="560"/>
      <c r="C8" s="558"/>
      <c r="D8" s="673" t="s">
        <v>189</v>
      </c>
      <c r="E8" s="559"/>
      <c r="F8" s="559"/>
      <c r="G8" s="585"/>
      <c r="H8" s="651"/>
      <c r="I8" s="561"/>
      <c r="J8" s="559"/>
      <c r="K8" s="559"/>
      <c r="L8" s="562"/>
      <c r="M8" s="562"/>
      <c r="N8" s="563"/>
      <c r="O8" s="564"/>
      <c r="P8" s="565"/>
      <c r="Q8" s="664"/>
      <c r="R8" s="665"/>
      <c r="S8" s="665"/>
      <c r="T8" s="665"/>
      <c r="U8" s="666"/>
      <c r="V8" s="392"/>
      <c r="W8" s="410"/>
      <c r="X8" s="412"/>
      <c r="Y8" s="390"/>
      <c r="Z8" s="393"/>
      <c r="AA8" s="647" t="e">
        <f t="shared" ref="AA8" si="0">AA7/Z7</f>
        <v>#DIV/0!</v>
      </c>
      <c r="AB8" s="596"/>
      <c r="AC8" s="596"/>
      <c r="AD8" s="620"/>
      <c r="AE8" s="407"/>
      <c r="AF8" s="410"/>
      <c r="AG8" s="410"/>
      <c r="AH8" s="394"/>
      <c r="AI8" s="404"/>
      <c r="AJ8" s="566"/>
      <c r="AK8" s="567"/>
      <c r="AL8" s="567"/>
      <c r="AM8" s="568"/>
      <c r="AN8" s="681"/>
    </row>
    <row r="9" spans="1:40" s="584" customFormat="1" ht="27" customHeight="1">
      <c r="A9" s="557">
        <v>9.4000000000000092</v>
      </c>
      <c r="B9" s="560"/>
      <c r="C9" s="557"/>
      <c r="D9" s="674"/>
      <c r="E9" s="683"/>
      <c r="F9" s="569"/>
      <c r="G9" s="585"/>
      <c r="H9" s="651"/>
      <c r="I9" s="561"/>
      <c r="J9" s="559"/>
      <c r="K9" s="559"/>
      <c r="L9" s="562"/>
      <c r="M9" s="562"/>
      <c r="N9" s="559"/>
      <c r="O9" s="570"/>
      <c r="P9" s="571"/>
      <c r="Q9" s="667"/>
      <c r="R9" s="668"/>
      <c r="S9" s="668"/>
      <c r="T9" s="668"/>
      <c r="U9" s="669"/>
      <c r="V9" s="392"/>
      <c r="W9" s="410"/>
      <c r="X9" s="412"/>
      <c r="Y9" s="390"/>
      <c r="Z9" s="393"/>
      <c r="AA9" s="393"/>
      <c r="AB9" s="596"/>
      <c r="AC9" s="596"/>
      <c r="AD9" s="621"/>
      <c r="AE9" s="408"/>
      <c r="AF9" s="410"/>
      <c r="AG9" s="410"/>
      <c r="AH9" s="394"/>
      <c r="AI9" s="404"/>
      <c r="AJ9" s="566"/>
      <c r="AK9" s="567"/>
      <c r="AL9" s="567"/>
      <c r="AM9" s="568"/>
      <c r="AN9" s="681"/>
    </row>
    <row r="10" spans="1:40" s="584" customFormat="1" ht="27" customHeight="1" thickBot="1">
      <c r="A10" s="572">
        <v>10.6071428571429</v>
      </c>
      <c r="B10" s="574"/>
      <c r="C10" s="572"/>
      <c r="D10" s="675"/>
      <c r="E10" s="573"/>
      <c r="F10" s="573"/>
      <c r="G10" s="575"/>
      <c r="H10" s="652"/>
      <c r="I10" s="576"/>
      <c r="J10" s="577"/>
      <c r="K10" s="577"/>
      <c r="L10" s="578"/>
      <c r="M10" s="578"/>
      <c r="N10" s="577"/>
      <c r="O10" s="579"/>
      <c r="P10" s="580"/>
      <c r="Q10" s="670"/>
      <c r="R10" s="671"/>
      <c r="S10" s="671"/>
      <c r="T10" s="671"/>
      <c r="U10" s="671"/>
      <c r="V10" s="395"/>
      <c r="W10" s="411"/>
      <c r="X10" s="413"/>
      <c r="Y10" s="391"/>
      <c r="Z10" s="389"/>
      <c r="AA10" s="648"/>
      <c r="AB10" s="648"/>
      <c r="AC10" s="648"/>
      <c r="AD10" s="622"/>
      <c r="AE10" s="409"/>
      <c r="AF10" s="411"/>
      <c r="AG10" s="411"/>
      <c r="AH10" s="396"/>
      <c r="AI10" s="405"/>
      <c r="AJ10" s="581"/>
      <c r="AK10" s="582"/>
      <c r="AL10" s="582"/>
      <c r="AM10" s="583"/>
      <c r="AN10" s="682"/>
    </row>
    <row r="11" spans="1:40" s="584" customFormat="1" ht="27" customHeight="1">
      <c r="A11" s="624">
        <v>2</v>
      </c>
      <c r="B11" s="770">
        <v>45566</v>
      </c>
      <c r="C11" s="625">
        <v>120000069053</v>
      </c>
      <c r="D11" s="672" t="s">
        <v>171</v>
      </c>
      <c r="E11" s="626" t="s">
        <v>75</v>
      </c>
      <c r="F11" s="626" t="s">
        <v>45</v>
      </c>
      <c r="G11" s="627">
        <v>24</v>
      </c>
      <c r="H11" s="768">
        <v>6.6000000000000003E-2</v>
      </c>
      <c r="I11" s="630">
        <v>45689</v>
      </c>
      <c r="J11" s="628">
        <v>50000</v>
      </c>
      <c r="K11" s="628"/>
      <c r="L11" s="599"/>
      <c r="M11" s="600">
        <f>IF(Table1351452010[[#This Row],[หัก ณ ที่จ่าย
(ค่าบริการ)]]="มี",Table1351452010[[#This Row],[ค่าบริการเฉลี่ยต่อเดือน]]*3%,0)</f>
        <v>0</v>
      </c>
      <c r="N11" s="552">
        <f>(Table1351452010[[#This Row],[ค่าบริการเฉลี่ยต่อเดือน]]-Table1351452010[[#This Row],[ต้นทุนช่องรายการ
(ถ้ามี)]]-Table1351452010[[#This Row],[มูลค่าหัก 3%]])</f>
        <v>50000</v>
      </c>
      <c r="O1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79200</v>
      </c>
      <c r="P11" s="761">
        <f>Table1351452010[[#This Row],[ระยะเวลาสัญญา
(เดือน)]]/$P$5</f>
        <v>2</v>
      </c>
      <c r="Q11" s="765">
        <f>Table1351452010[[#This Row],[Total
รายการเบิก
คอมขาย
(1)]]/2</f>
        <v>39600</v>
      </c>
      <c r="R11" s="766">
        <v>39600</v>
      </c>
      <c r="S11" s="766"/>
      <c r="T11" s="766"/>
      <c r="U11" s="764"/>
      <c r="V11" s="629">
        <v>70000</v>
      </c>
      <c r="W11" s="601"/>
      <c r="X11" s="602">
        <f>IF(Table1351452010[[#This Row],[หัก ณ ที่จ่าย
(ค่าติตั้ง)]]="มี",Table1351452010[[#This Row],[ค่าเชื่อมสัญญาณ/
ค่าติดตั้ง/
ค่าขายอุปกรณ์]]*$X$4,0)</f>
        <v>0</v>
      </c>
      <c r="Y11" s="397">
        <f>Table1351452010[[#This Row],[ค่าเชื่อมสัญญาณ/
ค่าติดตั้ง/
ค่าขายอุปกรณ์]]-Table1351452010[[#This Row],[มูลค่าหัก 3%
(ค่าติดตั้ง)]]</f>
        <v>70000</v>
      </c>
      <c r="Z11" s="331">
        <v>638274</v>
      </c>
      <c r="AA11" s="646">
        <f>Table1351452010[[#This Row],[ค่าเชื่อมสัญญาณ/
ค่าติดตั้ง/
ค่าขายอุปกรณ์
(เรียกเก็บสุทธิ)]]-Table1351452010[[#This Row],[ต้นทุน]]</f>
        <v>-568274</v>
      </c>
      <c r="AB11" s="789">
        <f>IF(Table1351452010[[#This Row],[ส่วนต่างกำไร]]&lt;(Table1351452010[[#This Row],[ต้นทุน]]*5%),Table1351452010[[#This Row],[ค่าเชื่อมสัญญาณ/
ค่าติดตั้ง/
ค่าขายอุปกรณ์
(เรียกเก็บสุทธิ)]]*$AB$3,"0")</f>
        <v>3500</v>
      </c>
      <c r="AC11" s="789" t="str">
        <f>IF(Table1351452010[[#This Row],[ส่วนต่างกำไร]]&gt;=(Table1351452010[[#This Row],[ต้นทุน]]*5%),Table1351452010[[#This Row],[ค่าเชื่อมสัญญาณ/
ค่าติดตั้ง/
ค่าขายอุปกรณ์
(เรียกเก็บสุทธิ)]]*$AC$3,"0")</f>
        <v>0</v>
      </c>
      <c r="AD11" s="619">
        <f>SUM(Table1351452010[[#This Row],[คอมฯ
 5%]:[คอมฯ
10%]])</f>
        <v>3500</v>
      </c>
      <c r="AE11" s="631">
        <v>0</v>
      </c>
      <c r="AF11" s="601"/>
      <c r="AG11" s="623">
        <f>IF(Table1351452010[[#This Row],[หัก ณ ที่จ่าย
(ค่าเชื่อมสัญญาณ)]]="มี",Table1351452010[[#This Row],[ค่าเชื่อมสัญญาณ]]*$AG$4,0)</f>
        <v>0</v>
      </c>
      <c r="AH11" s="398">
        <f>Table1351452010[[#This Row],[ค่าเชื่อมสัญญาณ]]-Table1351452010[[#This Row],[มูลค่าหัก 3%
(ค่าเชื่อมสัญญาณ)]]</f>
        <v>0</v>
      </c>
      <c r="AI11" s="403">
        <f>Table1351452010[[#This Row],[ค่าเชื่อมสัญญาณ
(เรียกเก็บสุทธิ)]]*$AI$3</f>
        <v>0</v>
      </c>
      <c r="AJ11" s="554">
        <f>Table1351452010[[#This Row],[สั่งจ่ายปีที่1]]+Table1351452010[[#This Row],[Total
ค่าเชื่มสัญญาณ/ค่าติดตั้ง/
ค่าขายอุปกรณ์
(2)]]+Table1351452010[[#This Row],[Total 
คอมฯค่าเชื่อมสัญญาณ
(3)]]</f>
        <v>43100</v>
      </c>
      <c r="AK11" s="555"/>
      <c r="AL11" s="555"/>
      <c r="AM11" s="556"/>
      <c r="AN11" s="680" t="s">
        <v>246</v>
      </c>
    </row>
    <row r="12" spans="1:40" s="584" customFormat="1" ht="27" customHeight="1">
      <c r="A12" s="557">
        <v>8.1928571428571502</v>
      </c>
      <c r="B12" s="560"/>
      <c r="C12" s="558"/>
      <c r="D12" s="673" t="s">
        <v>191</v>
      </c>
      <c r="E12" s="559"/>
      <c r="F12" s="559"/>
      <c r="G12" s="585"/>
      <c r="H12" s="651"/>
      <c r="I12" s="561"/>
      <c r="J12" s="559"/>
      <c r="K12" s="559"/>
      <c r="L12" s="562"/>
      <c r="M12" s="562"/>
      <c r="N12" s="563"/>
      <c r="O12" s="564"/>
      <c r="P12" s="565"/>
      <c r="Q12" s="664"/>
      <c r="R12" s="665"/>
      <c r="S12" s="665"/>
      <c r="T12" s="665"/>
      <c r="U12" s="666"/>
      <c r="V12" s="392"/>
      <c r="W12" s="410"/>
      <c r="X12" s="412"/>
      <c r="Y12" s="390"/>
      <c r="Z12" s="393"/>
      <c r="AA12" s="647">
        <f t="shared" ref="AA12" si="1">AA11/Z11</f>
        <v>-0.89032923164659694</v>
      </c>
      <c r="AB12" s="596"/>
      <c r="AC12" s="596"/>
      <c r="AD12" s="620"/>
      <c r="AE12" s="407"/>
      <c r="AF12" s="410"/>
      <c r="AG12" s="410"/>
      <c r="AH12" s="394"/>
      <c r="AI12" s="404"/>
      <c r="AJ12" s="566"/>
      <c r="AK12" s="567"/>
      <c r="AL12" s="567"/>
      <c r="AM12" s="568"/>
      <c r="AN12" s="681"/>
    </row>
    <row r="13" spans="1:40" s="584" customFormat="1" ht="27" customHeight="1">
      <c r="A13" s="557">
        <v>9.4000000000000092</v>
      </c>
      <c r="B13" s="560"/>
      <c r="C13" s="557"/>
      <c r="D13" s="674"/>
      <c r="E13" s="569"/>
      <c r="F13" s="569"/>
      <c r="G13" s="585"/>
      <c r="H13" s="651"/>
      <c r="I13" s="561"/>
      <c r="J13" s="559"/>
      <c r="K13" s="559"/>
      <c r="L13" s="562"/>
      <c r="M13" s="562"/>
      <c r="N13" s="559"/>
      <c r="O13" s="570"/>
      <c r="P13" s="571"/>
      <c r="Q13" s="667"/>
      <c r="R13" s="668"/>
      <c r="S13" s="668"/>
      <c r="T13" s="668"/>
      <c r="U13" s="669"/>
      <c r="V13" s="392"/>
      <c r="W13" s="410"/>
      <c r="X13" s="412"/>
      <c r="Y13" s="390"/>
      <c r="Z13" s="393"/>
      <c r="AA13" s="393"/>
      <c r="AB13" s="596"/>
      <c r="AC13" s="596"/>
      <c r="AD13" s="621"/>
      <c r="AE13" s="408"/>
      <c r="AF13" s="410"/>
      <c r="AG13" s="410"/>
      <c r="AH13" s="394"/>
      <c r="AI13" s="404"/>
      <c r="AJ13" s="566"/>
      <c r="AK13" s="567"/>
      <c r="AL13" s="567"/>
      <c r="AM13" s="568"/>
      <c r="AN13" s="681"/>
    </row>
    <row r="14" spans="1:40" s="584" customFormat="1" ht="27" customHeight="1" thickBot="1">
      <c r="A14" s="572">
        <v>10.6071428571429</v>
      </c>
      <c r="B14" s="574"/>
      <c r="C14" s="572"/>
      <c r="D14" s="675"/>
      <c r="E14" s="573"/>
      <c r="F14" s="573"/>
      <c r="G14" s="575"/>
      <c r="H14" s="652"/>
      <c r="I14" s="576"/>
      <c r="J14" s="577"/>
      <c r="K14" s="577"/>
      <c r="L14" s="578"/>
      <c r="M14" s="578"/>
      <c r="N14" s="577"/>
      <c r="O14" s="579"/>
      <c r="P14" s="580"/>
      <c r="Q14" s="670"/>
      <c r="R14" s="671"/>
      <c r="S14" s="671"/>
      <c r="T14" s="671"/>
      <c r="U14" s="671"/>
      <c r="V14" s="395"/>
      <c r="W14" s="411"/>
      <c r="X14" s="413"/>
      <c r="Y14" s="391"/>
      <c r="Z14" s="389"/>
      <c r="AA14" s="648"/>
      <c r="AB14" s="597"/>
      <c r="AC14" s="597"/>
      <c r="AD14" s="622"/>
      <c r="AE14" s="409"/>
      <c r="AF14" s="411"/>
      <c r="AG14" s="411"/>
      <c r="AH14" s="396"/>
      <c r="AI14" s="405"/>
      <c r="AJ14" s="581"/>
      <c r="AK14" s="582"/>
      <c r="AL14" s="582"/>
      <c r="AM14" s="583"/>
      <c r="AN14" s="682"/>
    </row>
    <row r="15" spans="1:40" s="584" customFormat="1" ht="27" customHeight="1">
      <c r="A15" s="624">
        <v>3</v>
      </c>
      <c r="B15" s="770">
        <v>45566</v>
      </c>
      <c r="C15" s="625">
        <v>120000069021</v>
      </c>
      <c r="D15" s="672" t="s">
        <v>190</v>
      </c>
      <c r="E15" s="626" t="s">
        <v>75</v>
      </c>
      <c r="F15" s="626" t="s">
        <v>45</v>
      </c>
      <c r="G15" s="627">
        <v>36</v>
      </c>
      <c r="H15" s="768">
        <v>6.6000000000000003E-2</v>
      </c>
      <c r="I15" s="630">
        <v>45658</v>
      </c>
      <c r="J15" s="628">
        <v>25000</v>
      </c>
      <c r="K15" s="628"/>
      <c r="L15" s="599"/>
      <c r="M15" s="600">
        <f>IF(Table1351452010[[#This Row],[หัก ณ ที่จ่าย
(ค่าบริการ)]]="มี",Table1351452010[[#This Row],[ค่าบริการเฉลี่ยต่อเดือน]]*3%,0)</f>
        <v>0</v>
      </c>
      <c r="N15" s="552">
        <f>(Table1351452010[[#This Row],[ค่าบริการเฉลี่ยต่อเดือน]]-Table1351452010[[#This Row],[ต้นทุนช่องรายการ
(ถ้ามี)]]-Table1351452010[[#This Row],[มูลค่าหัก 3%]])</f>
        <v>25000</v>
      </c>
      <c r="O1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59400</v>
      </c>
      <c r="P15" s="761">
        <f>Table1351452010[[#This Row],[ระยะเวลาสัญญา
(เดือน)]]/$P$5</f>
        <v>3</v>
      </c>
      <c r="Q15" s="765">
        <f>Table1351452010[[#This Row],[Total
รายการเบิก
คอมขาย
(1)]]/3</f>
        <v>19800</v>
      </c>
      <c r="R15" s="766">
        <v>19800</v>
      </c>
      <c r="S15" s="766">
        <v>19800</v>
      </c>
      <c r="T15" s="766"/>
      <c r="U15" s="764"/>
      <c r="V15" s="629">
        <v>15000</v>
      </c>
      <c r="W15" s="601"/>
      <c r="X15" s="602">
        <f>IF(Table1351452010[[#This Row],[หัก ณ ที่จ่าย
(ค่าติตั้ง)]]="มี",Table1351452010[[#This Row],[ค่าเชื่อมสัญญาณ/
ค่าติดตั้ง/
ค่าขายอุปกรณ์]]*$X$4,0)</f>
        <v>0</v>
      </c>
      <c r="Y15" s="397">
        <f>Table1351452010[[#This Row],[ค่าเชื่อมสัญญาณ/
ค่าติดตั้ง/
ค่าขายอุปกรณ์]]-Table1351452010[[#This Row],[มูลค่าหัก 3%
(ค่าติดตั้ง)]]</f>
        <v>15000</v>
      </c>
      <c r="Z15" s="331">
        <v>66526.75</v>
      </c>
      <c r="AA15" s="646">
        <f>Table1351452010[[#This Row],[ค่าเชื่อมสัญญาณ/
ค่าติดตั้ง/
ค่าขายอุปกรณ์
(เรียกเก็บสุทธิ)]]-Table1351452010[[#This Row],[ต้นทุน]]</f>
        <v>-51526.75</v>
      </c>
      <c r="AB15" s="789">
        <f>IF(Table1351452010[[#This Row],[ส่วนต่างกำไร]]&lt;(Table1351452010[[#This Row],[ต้นทุน]]*5%),Table1351452010[[#This Row],[ค่าเชื่อมสัญญาณ/
ค่าติดตั้ง/
ค่าขายอุปกรณ์
(เรียกเก็บสุทธิ)]]*$AB$3,"0")</f>
        <v>750</v>
      </c>
      <c r="AC15" s="789" t="str">
        <f>IF(Table1351452010[[#This Row],[ส่วนต่างกำไร]]&gt;=(Table1351452010[[#This Row],[ต้นทุน]]*5%),Table1351452010[[#This Row],[ค่าเชื่อมสัญญาณ/
ค่าติดตั้ง/
ค่าขายอุปกรณ์
(เรียกเก็บสุทธิ)]]*$AC$3,"0")</f>
        <v>0</v>
      </c>
      <c r="AD15" s="619">
        <f>SUM(Table1351452010[[#This Row],[คอมฯ
 5%]:[คอมฯ
10%]])</f>
        <v>750</v>
      </c>
      <c r="AE15" s="631">
        <v>0</v>
      </c>
      <c r="AF15" s="601"/>
      <c r="AG15" s="623">
        <f>IF(Table1351452010[[#This Row],[หัก ณ ที่จ่าย
(ค่าเชื่อมสัญญาณ)]]="มี",Table1351452010[[#This Row],[ค่าเชื่อมสัญญาณ]]*$AG$4,0)</f>
        <v>0</v>
      </c>
      <c r="AH15" s="398">
        <f>Table1351452010[[#This Row],[ค่าเชื่อมสัญญาณ]]-Table1351452010[[#This Row],[มูลค่าหัก 3%
(ค่าเชื่อมสัญญาณ)]]</f>
        <v>0</v>
      </c>
      <c r="AI15" s="403">
        <f>Table1351452010[[#This Row],[ค่าเชื่อมสัญญาณ
(เรียกเก็บสุทธิ)]]*$AI$3</f>
        <v>0</v>
      </c>
      <c r="AJ15" s="554">
        <f>Table1351452010[[#This Row],[สั่งจ่ายปีที่1]]+Table1351452010[[#This Row],[Total
ค่าเชื่มสัญญาณ/ค่าติดตั้ง/
ค่าขายอุปกรณ์
(2)]]+Table1351452010[[#This Row],[Total 
คอมฯค่าเชื่อมสัญญาณ
(3)]]</f>
        <v>20550</v>
      </c>
      <c r="AK15" s="555"/>
      <c r="AL15" s="555"/>
      <c r="AM15" s="556"/>
      <c r="AN15" s="680" t="s">
        <v>246</v>
      </c>
    </row>
    <row r="16" spans="1:40" s="584" customFormat="1" ht="27" customHeight="1">
      <c r="A16" s="557">
        <v>13.021428571428601</v>
      </c>
      <c r="B16" s="560"/>
      <c r="C16" s="558"/>
      <c r="D16" s="673" t="s">
        <v>192</v>
      </c>
      <c r="E16" s="559"/>
      <c r="F16" s="559"/>
      <c r="G16" s="585"/>
      <c r="H16" s="651"/>
      <c r="I16" s="561"/>
      <c r="J16" s="559"/>
      <c r="K16" s="559"/>
      <c r="L16" s="562"/>
      <c r="M16" s="562"/>
      <c r="N16" s="563"/>
      <c r="O16" s="564"/>
      <c r="P16" s="565"/>
      <c r="Q16" s="664"/>
      <c r="R16" s="665"/>
      <c r="S16" s="665"/>
      <c r="T16" s="665"/>
      <c r="U16" s="666"/>
      <c r="V16" s="392"/>
      <c r="W16" s="410"/>
      <c r="X16" s="412"/>
      <c r="Y16" s="390"/>
      <c r="Z16" s="393"/>
      <c r="AA16" s="647">
        <f t="shared" ref="AA16" si="2">AA15/Z15</f>
        <v>-0.77452678809651754</v>
      </c>
      <c r="AB16" s="596"/>
      <c r="AC16" s="596"/>
      <c r="AD16" s="620"/>
      <c r="AE16" s="407"/>
      <c r="AF16" s="410"/>
      <c r="AG16" s="410"/>
      <c r="AH16" s="394"/>
      <c r="AI16" s="404"/>
      <c r="AJ16" s="566"/>
      <c r="AK16" s="567"/>
      <c r="AL16" s="567"/>
      <c r="AM16" s="568"/>
      <c r="AN16" s="681"/>
    </row>
    <row r="17" spans="1:40" s="584" customFormat="1" ht="27" customHeight="1">
      <c r="A17" s="557">
        <v>14.228571428571501</v>
      </c>
      <c r="B17" s="560"/>
      <c r="C17" s="557"/>
      <c r="D17" s="674"/>
      <c r="E17" s="569"/>
      <c r="F17" s="569"/>
      <c r="G17" s="585"/>
      <c r="H17" s="651"/>
      <c r="I17" s="561"/>
      <c r="J17" s="559"/>
      <c r="K17" s="559"/>
      <c r="L17" s="562"/>
      <c r="M17" s="562"/>
      <c r="N17" s="559"/>
      <c r="O17" s="570"/>
      <c r="P17" s="571"/>
      <c r="Q17" s="667"/>
      <c r="R17" s="668"/>
      <c r="S17" s="668"/>
      <c r="T17" s="668"/>
      <c r="U17" s="669"/>
      <c r="V17" s="392"/>
      <c r="W17" s="410"/>
      <c r="X17" s="412"/>
      <c r="Y17" s="390"/>
      <c r="Z17" s="393"/>
      <c r="AA17" s="393"/>
      <c r="AB17" s="596"/>
      <c r="AC17" s="596"/>
      <c r="AD17" s="621"/>
      <c r="AE17" s="408"/>
      <c r="AF17" s="410"/>
      <c r="AG17" s="410"/>
      <c r="AH17" s="394"/>
      <c r="AI17" s="404"/>
      <c r="AJ17" s="566"/>
      <c r="AK17" s="567"/>
      <c r="AL17" s="567"/>
      <c r="AM17" s="568"/>
      <c r="AN17" s="681"/>
    </row>
    <row r="18" spans="1:40" s="584" customFormat="1" ht="27" customHeight="1" thickBot="1">
      <c r="A18" s="572">
        <v>15.435714285714299</v>
      </c>
      <c r="B18" s="574"/>
      <c r="C18" s="572"/>
      <c r="D18" s="675"/>
      <c r="E18" s="573"/>
      <c r="F18" s="573"/>
      <c r="G18" s="575"/>
      <c r="H18" s="652"/>
      <c r="I18" s="576"/>
      <c r="J18" s="577"/>
      <c r="K18" s="577"/>
      <c r="L18" s="578"/>
      <c r="M18" s="578"/>
      <c r="N18" s="577"/>
      <c r="O18" s="579"/>
      <c r="P18" s="580"/>
      <c r="Q18" s="670"/>
      <c r="R18" s="671"/>
      <c r="S18" s="671"/>
      <c r="T18" s="671"/>
      <c r="U18" s="671"/>
      <c r="V18" s="395"/>
      <c r="W18" s="411"/>
      <c r="X18" s="413"/>
      <c r="Y18" s="391"/>
      <c r="Z18" s="389"/>
      <c r="AA18" s="648"/>
      <c r="AB18" s="597"/>
      <c r="AC18" s="597"/>
      <c r="AD18" s="622"/>
      <c r="AE18" s="409"/>
      <c r="AF18" s="411"/>
      <c r="AG18" s="411"/>
      <c r="AH18" s="396"/>
      <c r="AI18" s="405"/>
      <c r="AJ18" s="581"/>
      <c r="AK18" s="582"/>
      <c r="AL18" s="582"/>
      <c r="AM18" s="583"/>
      <c r="AN18" s="682"/>
    </row>
    <row r="19" spans="1:40" s="584" customFormat="1" ht="27" customHeight="1">
      <c r="A19" s="624">
        <v>4</v>
      </c>
      <c r="B19" s="770">
        <v>45566</v>
      </c>
      <c r="C19" s="625" t="s">
        <v>247</v>
      </c>
      <c r="D19" s="672" t="s">
        <v>193</v>
      </c>
      <c r="E19" s="626" t="s">
        <v>74</v>
      </c>
      <c r="F19" s="626" t="s">
        <v>45</v>
      </c>
      <c r="G19" s="627">
        <v>24</v>
      </c>
      <c r="H19" s="768">
        <v>6.6000000000000003E-2</v>
      </c>
      <c r="I19" s="630" t="s">
        <v>247</v>
      </c>
      <c r="J19" s="628">
        <v>20000</v>
      </c>
      <c r="K19" s="628"/>
      <c r="L19" s="599"/>
      <c r="M19" s="600">
        <f>IF(Table1351452010[[#This Row],[หัก ณ ที่จ่าย
(ค่าบริการ)]]="มี",Table1351452010[[#This Row],[ค่าบริการเฉลี่ยต่อเดือน]]*3%,0)</f>
        <v>0</v>
      </c>
      <c r="N19" s="552">
        <f>(Table1351452010[[#This Row],[ค่าบริการเฉลี่ยต่อเดือน]]-Table1351452010[[#This Row],[ต้นทุนช่องรายการ
(ถ้ามี)]]-Table1351452010[[#This Row],[มูลค่าหัก 3%]])</f>
        <v>20000</v>
      </c>
      <c r="O1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31680</v>
      </c>
      <c r="P19" s="761">
        <f>Table1351452010[[#This Row],[ระยะเวลาสัญญา
(เดือน)]]/$P$5</f>
        <v>2</v>
      </c>
      <c r="Q19" s="765">
        <f>Table1351452010[[#This Row],[Total
รายการเบิก
คอมขาย
(1)]]/2</f>
        <v>15840</v>
      </c>
      <c r="R19" s="766">
        <v>15840</v>
      </c>
      <c r="S19" s="766"/>
      <c r="T19" s="766"/>
      <c r="U19" s="764"/>
      <c r="V19" s="629">
        <v>0</v>
      </c>
      <c r="W19" s="601"/>
      <c r="X19" s="602">
        <f>IF(Table1351452010[[#This Row],[หัก ณ ที่จ่าย
(ค่าติตั้ง)]]="มี",Table1351452010[[#This Row],[ค่าเชื่อมสัญญาณ/
ค่าติดตั้ง/
ค่าขายอุปกรณ์]]*$X$4,0)</f>
        <v>0</v>
      </c>
      <c r="Y19" s="397">
        <f>Table1351452010[[#This Row],[ค่าเชื่อมสัญญาณ/
ค่าติดตั้ง/
ค่าขายอุปกรณ์]]-Table1351452010[[#This Row],[มูลค่าหัก 3%
(ค่าติดตั้ง)]]</f>
        <v>0</v>
      </c>
      <c r="Z19" s="331">
        <v>0</v>
      </c>
      <c r="AA19" s="646">
        <f>Table1351452010[[#This Row],[ค่าเชื่อมสัญญาณ/
ค่าติดตั้ง/
ค่าขายอุปกรณ์
(เรียกเก็บสุทธิ)]]-Table1351452010[[#This Row],[ต้นทุน]]</f>
        <v>0</v>
      </c>
      <c r="AB19" s="789" t="str">
        <f>IF(Table1351452010[[#This Row],[ส่วนต่างกำไร]]&lt;(Table1351452010[[#This Row],[ต้นทุน]]*5%),Table1351452010[[#This Row],[ค่าเชื่อมสัญญาณ/
ค่าติดตั้ง/
ค่าขายอุปกรณ์
(เรียกเก็บสุทธิ)]]*$AB$3,"0")</f>
        <v>0</v>
      </c>
      <c r="AC19" s="789">
        <f>IF(Table1351452010[[#This Row],[ส่วนต่างกำไร]]&gt;=(Table1351452010[[#This Row],[ต้นทุน]]*5%),Table1351452010[[#This Row],[ค่าเชื่อมสัญญาณ/
ค่าติดตั้ง/
ค่าขายอุปกรณ์
(เรียกเก็บสุทธิ)]]*$AC$3,"0")</f>
        <v>0</v>
      </c>
      <c r="AD19" s="619">
        <f>SUM(Table1351452010[[#This Row],[คอมฯ
 5%]:[คอมฯ
10%]])</f>
        <v>0</v>
      </c>
      <c r="AE19" s="631">
        <v>0</v>
      </c>
      <c r="AF19" s="601"/>
      <c r="AG19" s="623">
        <f>IF(Table1351452010[[#This Row],[หัก ณ ที่จ่าย
(ค่าเชื่อมสัญญาณ)]]="มี",Table1351452010[[#This Row],[ค่าเชื่อมสัญญาณ]]*$AG$4,0)</f>
        <v>0</v>
      </c>
      <c r="AH19" s="398">
        <f>Table1351452010[[#This Row],[ค่าเชื่อมสัญญาณ]]-Table1351452010[[#This Row],[มูลค่าหัก 3%
(ค่าเชื่อมสัญญาณ)]]</f>
        <v>0</v>
      </c>
      <c r="AI19" s="403">
        <f>Table1351452010[[#This Row],[ค่าเชื่อมสัญญาณ
(เรียกเก็บสุทธิ)]]*$AI$3</f>
        <v>0</v>
      </c>
      <c r="AJ19" s="554">
        <f>Table1351452010[[#This Row],[สั่งจ่ายปีที่1]]+Table1351452010[[#This Row],[Total
ค่าเชื่มสัญญาณ/ค่าติดตั้ง/
ค่าขายอุปกรณ์
(2)]]+Table1351452010[[#This Row],[Total 
คอมฯค่าเชื่อมสัญญาณ
(3)]]</f>
        <v>15840</v>
      </c>
      <c r="AK19" s="555"/>
      <c r="AL19" s="555"/>
      <c r="AM19" s="556"/>
      <c r="AN19" s="680" t="s">
        <v>246</v>
      </c>
    </row>
    <row r="20" spans="1:40" s="584" customFormat="1" ht="27" customHeight="1">
      <c r="A20" s="557">
        <v>13.021428571428601</v>
      </c>
      <c r="B20" s="560"/>
      <c r="C20" s="558"/>
      <c r="D20" s="673" t="s">
        <v>194</v>
      </c>
      <c r="E20" s="559"/>
      <c r="F20" s="559"/>
      <c r="G20" s="585"/>
      <c r="H20" s="651"/>
      <c r="I20" s="561"/>
      <c r="J20" s="559"/>
      <c r="K20" s="559"/>
      <c r="L20" s="562"/>
      <c r="M20" s="562"/>
      <c r="N20" s="563"/>
      <c r="O20" s="564"/>
      <c r="P20" s="565"/>
      <c r="Q20" s="664"/>
      <c r="R20" s="665"/>
      <c r="S20" s="665"/>
      <c r="T20" s="665"/>
      <c r="U20" s="666"/>
      <c r="V20" s="392"/>
      <c r="W20" s="410"/>
      <c r="X20" s="412"/>
      <c r="Y20" s="390"/>
      <c r="Z20" s="393"/>
      <c r="AA20" s="647" t="e">
        <f t="shared" ref="AA20" si="3">AA19/Z19</f>
        <v>#DIV/0!</v>
      </c>
      <c r="AB20" s="596"/>
      <c r="AC20" s="596"/>
      <c r="AD20" s="620"/>
      <c r="AE20" s="407"/>
      <c r="AF20" s="410"/>
      <c r="AG20" s="410"/>
      <c r="AH20" s="394"/>
      <c r="AI20" s="404"/>
      <c r="AJ20" s="566"/>
      <c r="AK20" s="567"/>
      <c r="AL20" s="567"/>
      <c r="AM20" s="568"/>
      <c r="AN20" s="681"/>
    </row>
    <row r="21" spans="1:40" s="584" customFormat="1" ht="27" customHeight="1">
      <c r="A21" s="557">
        <v>14.228571428571501</v>
      </c>
      <c r="B21" s="560"/>
      <c r="C21" s="557"/>
      <c r="D21" s="674"/>
      <c r="E21" s="569"/>
      <c r="F21" s="569"/>
      <c r="G21" s="585"/>
      <c r="H21" s="651"/>
      <c r="I21" s="561"/>
      <c r="J21" s="559"/>
      <c r="K21" s="559"/>
      <c r="L21" s="562"/>
      <c r="M21" s="562"/>
      <c r="N21" s="559"/>
      <c r="O21" s="570"/>
      <c r="P21" s="571"/>
      <c r="Q21" s="667"/>
      <c r="R21" s="668"/>
      <c r="S21" s="668"/>
      <c r="T21" s="668"/>
      <c r="U21" s="669"/>
      <c r="V21" s="392"/>
      <c r="W21" s="410"/>
      <c r="X21" s="412"/>
      <c r="Y21" s="390"/>
      <c r="Z21" s="393"/>
      <c r="AA21" s="393"/>
      <c r="AB21" s="596"/>
      <c r="AC21" s="596"/>
      <c r="AD21" s="621"/>
      <c r="AE21" s="408"/>
      <c r="AF21" s="410"/>
      <c r="AG21" s="410"/>
      <c r="AH21" s="394"/>
      <c r="AI21" s="404"/>
      <c r="AJ21" s="566"/>
      <c r="AK21" s="567"/>
      <c r="AL21" s="567"/>
      <c r="AM21" s="568"/>
      <c r="AN21" s="681"/>
    </row>
    <row r="22" spans="1:40" s="584" customFormat="1" ht="27" customHeight="1" thickBot="1">
      <c r="A22" s="572">
        <v>15.435714285714299</v>
      </c>
      <c r="B22" s="574"/>
      <c r="C22" s="572"/>
      <c r="D22" s="675"/>
      <c r="E22" s="573"/>
      <c r="F22" s="573"/>
      <c r="G22" s="575"/>
      <c r="H22" s="652"/>
      <c r="I22" s="576"/>
      <c r="J22" s="577"/>
      <c r="K22" s="577"/>
      <c r="L22" s="578"/>
      <c r="M22" s="578"/>
      <c r="N22" s="577"/>
      <c r="O22" s="579"/>
      <c r="P22" s="580"/>
      <c r="Q22" s="670"/>
      <c r="R22" s="671"/>
      <c r="S22" s="671"/>
      <c r="T22" s="671"/>
      <c r="U22" s="671"/>
      <c r="V22" s="395"/>
      <c r="W22" s="411"/>
      <c r="X22" s="413"/>
      <c r="Y22" s="391"/>
      <c r="Z22" s="389"/>
      <c r="AA22" s="648"/>
      <c r="AB22" s="597"/>
      <c r="AC22" s="597"/>
      <c r="AD22" s="622"/>
      <c r="AE22" s="409"/>
      <c r="AF22" s="411"/>
      <c r="AG22" s="411"/>
      <c r="AH22" s="396"/>
      <c r="AI22" s="405"/>
      <c r="AJ22" s="581"/>
      <c r="AK22" s="582"/>
      <c r="AL22" s="582"/>
      <c r="AM22" s="583"/>
      <c r="AN22" s="682"/>
    </row>
    <row r="23" spans="1:40" s="584" customFormat="1" ht="27" customHeight="1">
      <c r="A23" s="624">
        <v>5</v>
      </c>
      <c r="B23" s="770">
        <v>45566</v>
      </c>
      <c r="C23" s="625">
        <v>120000069055</v>
      </c>
      <c r="D23" s="672" t="s">
        <v>195</v>
      </c>
      <c r="E23" s="626" t="s">
        <v>130</v>
      </c>
      <c r="F23" s="626" t="s">
        <v>45</v>
      </c>
      <c r="G23" s="627">
        <v>36</v>
      </c>
      <c r="H23" s="768">
        <v>6.6000000000000003E-2</v>
      </c>
      <c r="I23" s="630">
        <v>45658</v>
      </c>
      <c r="J23" s="628">
        <v>5440</v>
      </c>
      <c r="K23" s="628"/>
      <c r="L23" s="599"/>
      <c r="M23" s="600">
        <f>IF(Table1351452010[[#This Row],[หัก ณ ที่จ่าย
(ค่าบริการ)]]="มี",Table1351452010[[#This Row],[ค่าบริการเฉลี่ยต่อเดือน]]*3%,0)</f>
        <v>0</v>
      </c>
      <c r="N23" s="552">
        <f>(Table1351452010[[#This Row],[ค่าบริการเฉลี่ยต่อเดือน]]-Table1351452010[[#This Row],[ต้นทุนช่องรายการ
(ถ้ามี)]]-Table1351452010[[#This Row],[มูลค่าหัก 3%]])</f>
        <v>5440</v>
      </c>
      <c r="O2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12925.44</v>
      </c>
      <c r="P23" s="761">
        <f>Table1351452010[[#This Row],[ระยะเวลาสัญญา
(เดือน)]]/$P$5</f>
        <v>3</v>
      </c>
      <c r="Q23" s="765">
        <f>Table1351452010[[#This Row],[Total
รายการเบิก
คอมขาย
(1)]]/3</f>
        <v>4308.4800000000005</v>
      </c>
      <c r="R23" s="766">
        <v>4308.4799999999996</v>
      </c>
      <c r="S23" s="766">
        <v>4308.4799999999996</v>
      </c>
      <c r="T23" s="766"/>
      <c r="U23" s="764"/>
      <c r="V23" s="629">
        <v>30000</v>
      </c>
      <c r="W23" s="601"/>
      <c r="X23" s="602">
        <f>IF(Table1351452010[[#This Row],[หัก ณ ที่จ่าย
(ค่าติตั้ง)]]="มี",Table1351452010[[#This Row],[ค่าเชื่อมสัญญาณ/
ค่าติดตั้ง/
ค่าขายอุปกรณ์]]*$X$4,0)</f>
        <v>0</v>
      </c>
      <c r="Y23" s="397">
        <f>Table1351452010[[#This Row],[ค่าเชื่อมสัญญาณ/
ค่าติดตั้ง/
ค่าขายอุปกรณ์]]-Table1351452010[[#This Row],[มูลค่าหัก 3%
(ค่าติดตั้ง)]]</f>
        <v>30000</v>
      </c>
      <c r="Z23" s="331">
        <v>108539.69</v>
      </c>
      <c r="AA23" s="646">
        <f>Table1351452010[[#This Row],[ค่าเชื่อมสัญญาณ/
ค่าติดตั้ง/
ค่าขายอุปกรณ์
(เรียกเก็บสุทธิ)]]-Table1351452010[[#This Row],[ต้นทุน]]</f>
        <v>-78539.69</v>
      </c>
      <c r="AB23" s="789">
        <f>IF(Table1351452010[[#This Row],[ส่วนต่างกำไร]]&lt;(Table1351452010[[#This Row],[ต้นทุน]]*5%),Table1351452010[[#This Row],[ค่าเชื่อมสัญญาณ/
ค่าติดตั้ง/
ค่าขายอุปกรณ์
(เรียกเก็บสุทธิ)]]*$AB$3,"0")</f>
        <v>1500</v>
      </c>
      <c r="AC23" s="789" t="str">
        <f>IF(Table1351452010[[#This Row],[ส่วนต่างกำไร]]&gt;=(Table1351452010[[#This Row],[ต้นทุน]]*5%),Table1351452010[[#This Row],[ค่าเชื่อมสัญญาณ/
ค่าติดตั้ง/
ค่าขายอุปกรณ์
(เรียกเก็บสุทธิ)]]*$AC$3,"0")</f>
        <v>0</v>
      </c>
      <c r="AD23" s="619">
        <f>SUM(Table1351452010[[#This Row],[คอมฯ
 5%]:[คอมฯ
10%]])</f>
        <v>1500</v>
      </c>
      <c r="AE23" s="631">
        <v>0</v>
      </c>
      <c r="AF23" s="601"/>
      <c r="AG23" s="623">
        <f>IF(Table1351452010[[#This Row],[หัก ณ ที่จ่าย
(ค่าเชื่อมสัญญาณ)]]="มี",Table1351452010[[#This Row],[ค่าเชื่อมสัญญาณ]]*$AG$4,0)</f>
        <v>0</v>
      </c>
      <c r="AH23" s="398">
        <f>Table1351452010[[#This Row],[ค่าเชื่อมสัญญาณ]]-Table1351452010[[#This Row],[มูลค่าหัก 3%
(ค่าเชื่อมสัญญาณ)]]</f>
        <v>0</v>
      </c>
      <c r="AI23" s="403">
        <f>Table1351452010[[#This Row],[ค่าเชื่อมสัญญาณ
(เรียกเก็บสุทธิ)]]*$AI$3</f>
        <v>0</v>
      </c>
      <c r="AJ23" s="554">
        <f>Table1351452010[[#This Row],[สั่งจ่ายปีที่1]]+Table1351452010[[#This Row],[Total
ค่าเชื่มสัญญาณ/ค่าติดตั้ง/
ค่าขายอุปกรณ์
(2)]]+Table1351452010[[#This Row],[Total 
คอมฯค่าเชื่อมสัญญาณ
(3)]]</f>
        <v>5808.4800000000005</v>
      </c>
      <c r="AK23" s="555"/>
      <c r="AL23" s="555"/>
      <c r="AM23" s="556"/>
      <c r="AN23" s="680" t="s">
        <v>246</v>
      </c>
    </row>
    <row r="24" spans="1:40" s="584" customFormat="1" ht="27" customHeight="1">
      <c r="A24" s="557">
        <v>22.678571428571502</v>
      </c>
      <c r="B24" s="560"/>
      <c r="C24" s="558"/>
      <c r="D24" s="673" t="s">
        <v>236</v>
      </c>
      <c r="E24" s="559"/>
      <c r="F24" s="559"/>
      <c r="G24" s="585"/>
      <c r="H24" s="651"/>
      <c r="I24" s="561"/>
      <c r="J24" s="559"/>
      <c r="K24" s="559"/>
      <c r="L24" s="562"/>
      <c r="M24" s="562"/>
      <c r="N24" s="563"/>
      <c r="O24" s="564"/>
      <c r="P24" s="565"/>
      <c r="Q24" s="664"/>
      <c r="R24" s="665"/>
      <c r="S24" s="665"/>
      <c r="T24" s="665"/>
      <c r="U24" s="666"/>
      <c r="V24" s="392"/>
      <c r="W24" s="410"/>
      <c r="X24" s="412"/>
      <c r="Y24" s="390"/>
      <c r="Z24" s="393"/>
      <c r="AA24" s="647">
        <f t="shared" ref="AA24" si="4">AA23/Z23</f>
        <v>-0.72360341180263188</v>
      </c>
      <c r="AB24" s="596"/>
      <c r="AC24" s="596"/>
      <c r="AD24" s="620"/>
      <c r="AE24" s="407"/>
      <c r="AF24" s="410"/>
      <c r="AG24" s="410"/>
      <c r="AH24" s="394"/>
      <c r="AI24" s="404"/>
      <c r="AJ24" s="566"/>
      <c r="AK24" s="567"/>
      <c r="AL24" s="567"/>
      <c r="AM24" s="568"/>
      <c r="AN24" s="681"/>
    </row>
    <row r="25" spans="1:40" s="584" customFormat="1" ht="27" customHeight="1">
      <c r="A25" s="557">
        <v>23.8857142857143</v>
      </c>
      <c r="B25" s="560"/>
      <c r="C25" s="557"/>
      <c r="D25" s="674"/>
      <c r="E25" s="569"/>
      <c r="F25" s="569"/>
      <c r="G25" s="585"/>
      <c r="H25" s="651"/>
      <c r="I25" s="561"/>
      <c r="J25" s="559"/>
      <c r="K25" s="559"/>
      <c r="L25" s="562"/>
      <c r="M25" s="562"/>
      <c r="N25" s="559"/>
      <c r="O25" s="570"/>
      <c r="P25" s="571"/>
      <c r="Q25" s="667"/>
      <c r="R25" s="668"/>
      <c r="S25" s="668"/>
      <c r="T25" s="668"/>
      <c r="U25" s="669"/>
      <c r="V25" s="392"/>
      <c r="W25" s="410"/>
      <c r="X25" s="412"/>
      <c r="Y25" s="390"/>
      <c r="Z25" s="393"/>
      <c r="AA25" s="393"/>
      <c r="AB25" s="596"/>
      <c r="AC25" s="596"/>
      <c r="AD25" s="621"/>
      <c r="AE25" s="408"/>
      <c r="AF25" s="410"/>
      <c r="AG25" s="410"/>
      <c r="AH25" s="394"/>
      <c r="AI25" s="404"/>
      <c r="AJ25" s="566"/>
      <c r="AK25" s="567"/>
      <c r="AL25" s="567"/>
      <c r="AM25" s="568"/>
      <c r="AN25" s="681"/>
    </row>
    <row r="26" spans="1:40" s="584" customFormat="1" ht="27" customHeight="1" thickBot="1">
      <c r="A26" s="572">
        <v>25.092857142857198</v>
      </c>
      <c r="B26" s="574"/>
      <c r="C26" s="572"/>
      <c r="D26" s="675"/>
      <c r="E26" s="573"/>
      <c r="F26" s="573"/>
      <c r="G26" s="575"/>
      <c r="H26" s="652"/>
      <c r="I26" s="576"/>
      <c r="J26" s="577"/>
      <c r="K26" s="577"/>
      <c r="L26" s="578"/>
      <c r="M26" s="578"/>
      <c r="N26" s="577"/>
      <c r="O26" s="579"/>
      <c r="P26" s="580"/>
      <c r="Q26" s="670"/>
      <c r="R26" s="671"/>
      <c r="S26" s="671"/>
      <c r="T26" s="671"/>
      <c r="U26" s="671"/>
      <c r="V26" s="395"/>
      <c r="W26" s="411"/>
      <c r="X26" s="413"/>
      <c r="Y26" s="391"/>
      <c r="Z26" s="389"/>
      <c r="AA26" s="648"/>
      <c r="AB26" s="597"/>
      <c r="AC26" s="597"/>
      <c r="AD26" s="622"/>
      <c r="AE26" s="409"/>
      <c r="AF26" s="411"/>
      <c r="AG26" s="411"/>
      <c r="AH26" s="396"/>
      <c r="AI26" s="405"/>
      <c r="AJ26" s="581"/>
      <c r="AK26" s="582"/>
      <c r="AL26" s="582"/>
      <c r="AM26" s="583"/>
      <c r="AN26" s="682"/>
    </row>
    <row r="27" spans="1:40" s="584" customFormat="1" ht="27" customHeight="1">
      <c r="A27" s="624">
        <v>6</v>
      </c>
      <c r="B27" s="770">
        <v>45566</v>
      </c>
      <c r="C27" s="625">
        <v>120000069164</v>
      </c>
      <c r="D27" s="672" t="s">
        <v>196</v>
      </c>
      <c r="E27" s="626" t="s">
        <v>75</v>
      </c>
      <c r="F27" s="626" t="s">
        <v>45</v>
      </c>
      <c r="G27" s="627">
        <v>60</v>
      </c>
      <c r="H27" s="768">
        <v>6.6000000000000003E-2</v>
      </c>
      <c r="I27" s="630">
        <v>45627</v>
      </c>
      <c r="J27" s="628">
        <v>11250</v>
      </c>
      <c r="K27" s="628"/>
      <c r="L27" s="599"/>
      <c r="M27" s="600">
        <f>IF(Table1351452010[[#This Row],[หัก ณ ที่จ่าย
(ค่าบริการ)]]="มี",Table1351452010[[#This Row],[ค่าบริการเฉลี่ยต่อเดือน]]*3%,0)</f>
        <v>0</v>
      </c>
      <c r="N27" s="552">
        <f>(Table1351452010[[#This Row],[ค่าบริการเฉลี่ยต่อเดือน]]-Table1351452010[[#This Row],[ต้นทุนช่องรายการ
(ถ้ามี)]]-Table1351452010[[#This Row],[มูลค่าหัก 3%]])</f>
        <v>11250</v>
      </c>
      <c r="O2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44550</v>
      </c>
      <c r="P27" s="761">
        <f>Table1351452010[[#This Row],[ระยะเวลาสัญญา
(เดือน)]]/$P$5</f>
        <v>5</v>
      </c>
      <c r="Q27" s="765">
        <f>Table1351452010[[#This Row],[Total
รายการเบิก
คอมขาย
(1)]]/5</f>
        <v>8910</v>
      </c>
      <c r="R27" s="766">
        <v>8910</v>
      </c>
      <c r="S27" s="766">
        <v>8910</v>
      </c>
      <c r="T27" s="766">
        <v>8910</v>
      </c>
      <c r="U27" s="766">
        <v>8910</v>
      </c>
      <c r="V27" s="629">
        <v>10000</v>
      </c>
      <c r="W27" s="601"/>
      <c r="X27" s="602">
        <f>IF(Table1351452010[[#This Row],[หัก ณ ที่จ่าย
(ค่าติตั้ง)]]="มี",Table1351452010[[#This Row],[ค่าเชื่อมสัญญาณ/
ค่าติดตั้ง/
ค่าขายอุปกรณ์]]*$X$4,0)</f>
        <v>0</v>
      </c>
      <c r="Y27" s="397">
        <f>Table1351452010[[#This Row],[ค่าเชื่อมสัญญาณ/
ค่าติดตั้ง/
ค่าขายอุปกรณ์]]-Table1351452010[[#This Row],[มูลค่าหัก 3%
(ค่าติดตั้ง)]]</f>
        <v>10000</v>
      </c>
      <c r="Z27" s="331">
        <v>191400</v>
      </c>
      <c r="AA27" s="646">
        <f>Table1351452010[[#This Row],[ค่าเชื่อมสัญญาณ/
ค่าติดตั้ง/
ค่าขายอุปกรณ์
(เรียกเก็บสุทธิ)]]-Table1351452010[[#This Row],[ต้นทุน]]</f>
        <v>-181400</v>
      </c>
      <c r="AB27" s="789">
        <f>IF(Table1351452010[[#This Row],[ส่วนต่างกำไร]]&lt;(Table1351452010[[#This Row],[ต้นทุน]]*5%),Table1351452010[[#This Row],[ค่าเชื่อมสัญญาณ/
ค่าติดตั้ง/
ค่าขายอุปกรณ์
(เรียกเก็บสุทธิ)]]*$AB$3,"0")</f>
        <v>500</v>
      </c>
      <c r="AC27" s="789" t="str">
        <f>IF(Table1351452010[[#This Row],[ส่วนต่างกำไร]]&gt;=(Table1351452010[[#This Row],[ต้นทุน]]*5%),Table1351452010[[#This Row],[ค่าเชื่อมสัญญาณ/
ค่าติดตั้ง/
ค่าขายอุปกรณ์
(เรียกเก็บสุทธิ)]]*$AC$3,"0")</f>
        <v>0</v>
      </c>
      <c r="AD27" s="619">
        <f>SUM(Table1351452010[[#This Row],[คอมฯ
 5%]:[คอมฯ
10%]])</f>
        <v>500</v>
      </c>
      <c r="AE27" s="631">
        <v>0</v>
      </c>
      <c r="AF27" s="601"/>
      <c r="AG27" s="623">
        <f>IF(Table1351452010[[#This Row],[หัก ณ ที่จ่าย
(ค่าเชื่อมสัญญาณ)]]="มี",Table1351452010[[#This Row],[ค่าเชื่อมสัญญาณ]]*$AG$4,0)</f>
        <v>0</v>
      </c>
      <c r="AH27" s="398">
        <f>Table1351452010[[#This Row],[ค่าเชื่อมสัญญาณ]]-Table1351452010[[#This Row],[มูลค่าหัก 3%
(ค่าเชื่อมสัญญาณ)]]</f>
        <v>0</v>
      </c>
      <c r="AI27" s="403">
        <f>Table1351452010[[#This Row],[ค่าเชื่อมสัญญาณ
(เรียกเก็บสุทธิ)]]*$AI$3</f>
        <v>0</v>
      </c>
      <c r="AJ27" s="554">
        <f>Table1351452010[[#This Row],[สั่งจ่ายปีที่1]]+Table1351452010[[#This Row],[Total
ค่าเชื่มสัญญาณ/ค่าติดตั้ง/
ค่าขายอุปกรณ์
(2)]]+Table1351452010[[#This Row],[Total 
คอมฯค่าเชื่อมสัญญาณ
(3)]]</f>
        <v>9410</v>
      </c>
      <c r="AK27" s="555"/>
      <c r="AL27" s="555"/>
      <c r="AM27" s="556"/>
      <c r="AN27" s="680" t="s">
        <v>246</v>
      </c>
    </row>
    <row r="28" spans="1:40" s="584" customFormat="1" ht="27" customHeight="1">
      <c r="A28" s="557">
        <v>22.678571428571502</v>
      </c>
      <c r="B28" s="560"/>
      <c r="C28" s="558"/>
      <c r="D28" s="673" t="s">
        <v>235</v>
      </c>
      <c r="E28" s="559"/>
      <c r="F28" s="559"/>
      <c r="G28" s="585"/>
      <c r="H28" s="651"/>
      <c r="I28" s="561"/>
      <c r="J28" s="559"/>
      <c r="K28" s="559"/>
      <c r="L28" s="562"/>
      <c r="M28" s="562"/>
      <c r="N28" s="563"/>
      <c r="O28" s="564"/>
      <c r="P28" s="565"/>
      <c r="Q28" s="664"/>
      <c r="R28" s="665"/>
      <c r="S28" s="665"/>
      <c r="T28" s="665"/>
      <c r="U28" s="666"/>
      <c r="V28" s="392"/>
      <c r="W28" s="410"/>
      <c r="X28" s="412"/>
      <c r="Y28" s="390"/>
      <c r="Z28" s="393"/>
      <c r="AA28" s="647">
        <f t="shared" ref="AA28" si="5">AA27/Z27</f>
        <v>-0.94775339602925812</v>
      </c>
      <c r="AB28" s="596"/>
      <c r="AC28" s="596"/>
      <c r="AD28" s="620"/>
      <c r="AE28" s="407"/>
      <c r="AF28" s="410"/>
      <c r="AG28" s="410"/>
      <c r="AH28" s="394"/>
      <c r="AI28" s="404"/>
      <c r="AJ28" s="566"/>
      <c r="AK28" s="567"/>
      <c r="AL28" s="567"/>
      <c r="AM28" s="568"/>
      <c r="AN28" s="681"/>
    </row>
    <row r="29" spans="1:40" s="584" customFormat="1" ht="27" customHeight="1">
      <c r="A29" s="557">
        <v>23.8857142857143</v>
      </c>
      <c r="B29" s="560"/>
      <c r="C29" s="557"/>
      <c r="D29" s="674"/>
      <c r="E29" s="569"/>
      <c r="F29" s="569"/>
      <c r="G29" s="585"/>
      <c r="H29" s="651"/>
      <c r="I29" s="561"/>
      <c r="J29" s="559"/>
      <c r="K29" s="559"/>
      <c r="L29" s="562"/>
      <c r="M29" s="562"/>
      <c r="N29" s="559"/>
      <c r="O29" s="570"/>
      <c r="P29" s="571"/>
      <c r="Q29" s="667"/>
      <c r="R29" s="668"/>
      <c r="S29" s="668"/>
      <c r="T29" s="668"/>
      <c r="U29" s="669"/>
      <c r="V29" s="392"/>
      <c r="W29" s="410"/>
      <c r="X29" s="412"/>
      <c r="Y29" s="390"/>
      <c r="Z29" s="393"/>
      <c r="AA29" s="393"/>
      <c r="AB29" s="596"/>
      <c r="AC29" s="596"/>
      <c r="AD29" s="621"/>
      <c r="AE29" s="408"/>
      <c r="AF29" s="410"/>
      <c r="AG29" s="410"/>
      <c r="AH29" s="394"/>
      <c r="AI29" s="404"/>
      <c r="AJ29" s="566"/>
      <c r="AK29" s="567"/>
      <c r="AL29" s="567"/>
      <c r="AM29" s="568"/>
      <c r="AN29" s="681"/>
    </row>
    <row r="30" spans="1:40" s="584" customFormat="1" ht="27" customHeight="1" thickBot="1">
      <c r="A30" s="572">
        <v>25.092857142857198</v>
      </c>
      <c r="B30" s="574"/>
      <c r="C30" s="572"/>
      <c r="D30" s="675"/>
      <c r="E30" s="573"/>
      <c r="F30" s="573"/>
      <c r="G30" s="575"/>
      <c r="H30" s="652"/>
      <c r="I30" s="576"/>
      <c r="J30" s="577"/>
      <c r="K30" s="577"/>
      <c r="L30" s="578"/>
      <c r="M30" s="578"/>
      <c r="N30" s="577"/>
      <c r="O30" s="579"/>
      <c r="P30" s="580"/>
      <c r="Q30" s="670"/>
      <c r="R30" s="671"/>
      <c r="S30" s="671"/>
      <c r="T30" s="671"/>
      <c r="U30" s="671"/>
      <c r="V30" s="395"/>
      <c r="W30" s="411"/>
      <c r="X30" s="413"/>
      <c r="Y30" s="391"/>
      <c r="Z30" s="389"/>
      <c r="AA30" s="648"/>
      <c r="AB30" s="597"/>
      <c r="AC30" s="597"/>
      <c r="AD30" s="622"/>
      <c r="AE30" s="409"/>
      <c r="AF30" s="411"/>
      <c r="AG30" s="411"/>
      <c r="AH30" s="396"/>
      <c r="AI30" s="405"/>
      <c r="AJ30" s="581"/>
      <c r="AK30" s="582"/>
      <c r="AL30" s="582"/>
      <c r="AM30" s="583"/>
      <c r="AN30" s="682"/>
    </row>
    <row r="31" spans="1:40" s="584" customFormat="1" ht="27" customHeight="1">
      <c r="A31" s="624">
        <v>7</v>
      </c>
      <c r="B31" s="770">
        <v>45566</v>
      </c>
      <c r="C31" s="625" t="s">
        <v>247</v>
      </c>
      <c r="D31" s="672" t="s">
        <v>198</v>
      </c>
      <c r="E31" s="626" t="s">
        <v>75</v>
      </c>
      <c r="F31" s="626" t="s">
        <v>45</v>
      </c>
      <c r="G31" s="627">
        <v>60</v>
      </c>
      <c r="H31" s="768">
        <v>6.6000000000000003E-2</v>
      </c>
      <c r="I31" s="630">
        <v>45658</v>
      </c>
      <c r="J31" s="628">
        <v>18190</v>
      </c>
      <c r="K31" s="628"/>
      <c r="L31" s="599"/>
      <c r="M31" s="600">
        <f>IF(Table1351452010[[#This Row],[หัก ณ ที่จ่าย
(ค่าบริการ)]]="มี",Table1351452010[[#This Row],[ค่าบริการเฉลี่ยต่อเดือน]]*3%,0)</f>
        <v>0</v>
      </c>
      <c r="N31" s="552">
        <f>(Table1351452010[[#This Row],[ค่าบริการเฉลี่ยต่อเดือน]]-Table1351452010[[#This Row],[ต้นทุนช่องรายการ
(ถ้ามี)]]-Table1351452010[[#This Row],[มูลค่าหัก 3%]])</f>
        <v>18190</v>
      </c>
      <c r="O3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72032.399999999994</v>
      </c>
      <c r="P31" s="761">
        <f>Table1351452010[[#This Row],[ระยะเวลาสัญญา
(เดือน)]]/$P$5</f>
        <v>5</v>
      </c>
      <c r="Q31" s="765">
        <f>Table1351452010[[#This Row],[Total
รายการเบิก
คอมขาย
(1)]]/5</f>
        <v>14406.48</v>
      </c>
      <c r="R31" s="766">
        <v>14406.48</v>
      </c>
      <c r="S31" s="766">
        <v>14406.48</v>
      </c>
      <c r="T31" s="766">
        <v>14406.48</v>
      </c>
      <c r="U31" s="766">
        <v>14406.48</v>
      </c>
      <c r="V31" s="629">
        <v>40000</v>
      </c>
      <c r="W31" s="601"/>
      <c r="X31" s="602">
        <f>IF(Table1351452010[[#This Row],[หัก ณ ที่จ่าย
(ค่าติตั้ง)]]="มี",Table1351452010[[#This Row],[ค่าเชื่อมสัญญาณ/
ค่าติดตั้ง/
ค่าขายอุปกรณ์]]*$X$4,0)</f>
        <v>0</v>
      </c>
      <c r="Y31" s="397">
        <f>Table1351452010[[#This Row],[ค่าเชื่อมสัญญาณ/
ค่าติดตั้ง/
ค่าขายอุปกรณ์]]-Table1351452010[[#This Row],[มูลค่าหัก 3%
(ค่าติดตั้ง)]]</f>
        <v>40000</v>
      </c>
      <c r="Z31" s="331">
        <v>62765</v>
      </c>
      <c r="AA31" s="646">
        <f>Table1351452010[[#This Row],[ค่าเชื่อมสัญญาณ/
ค่าติดตั้ง/
ค่าขายอุปกรณ์
(เรียกเก็บสุทธิ)]]-Table1351452010[[#This Row],[ต้นทุน]]</f>
        <v>-22765</v>
      </c>
      <c r="AB31" s="789">
        <f>IF(Table1351452010[[#This Row],[ส่วนต่างกำไร]]&lt;(Table1351452010[[#This Row],[ต้นทุน]]*5%),Table1351452010[[#This Row],[ค่าเชื่อมสัญญาณ/
ค่าติดตั้ง/
ค่าขายอุปกรณ์
(เรียกเก็บสุทธิ)]]*$AB$3,"0")</f>
        <v>2000</v>
      </c>
      <c r="AC31" s="789" t="str">
        <f>IF(Table1351452010[[#This Row],[ส่วนต่างกำไร]]&gt;=(Table1351452010[[#This Row],[ต้นทุน]]*5%),Table1351452010[[#This Row],[ค่าเชื่อมสัญญาณ/
ค่าติดตั้ง/
ค่าขายอุปกรณ์
(เรียกเก็บสุทธิ)]]*$AC$3,"0")</f>
        <v>0</v>
      </c>
      <c r="AD31" s="619">
        <f>SUM(Table1351452010[[#This Row],[คอมฯ
 5%]:[คอมฯ
10%]])</f>
        <v>2000</v>
      </c>
      <c r="AE31" s="631">
        <v>0</v>
      </c>
      <c r="AF31" s="601"/>
      <c r="AG31" s="623">
        <f>IF(Table1351452010[[#This Row],[หัก ณ ที่จ่าย
(ค่าเชื่อมสัญญาณ)]]="มี",Table1351452010[[#This Row],[ค่าเชื่อมสัญญาณ]]*$AG$4,0)</f>
        <v>0</v>
      </c>
      <c r="AH31" s="398">
        <f>Table1351452010[[#This Row],[ค่าเชื่อมสัญญาณ]]-Table1351452010[[#This Row],[มูลค่าหัก 3%
(ค่าเชื่อมสัญญาณ)]]</f>
        <v>0</v>
      </c>
      <c r="AI31" s="403">
        <f>Table1351452010[[#This Row],[ค่าเชื่อมสัญญาณ
(เรียกเก็บสุทธิ)]]*$AI$3</f>
        <v>0</v>
      </c>
      <c r="AJ31" s="554">
        <f>Table1351452010[[#This Row],[สั่งจ่ายปีที่1]]+Table1351452010[[#This Row],[Total
ค่าเชื่มสัญญาณ/ค่าติดตั้ง/
ค่าขายอุปกรณ์
(2)]]+Table1351452010[[#This Row],[Total 
คอมฯค่าเชื่อมสัญญาณ
(3)]]</f>
        <v>16406.48</v>
      </c>
      <c r="AK31" s="555"/>
      <c r="AL31" s="555"/>
      <c r="AM31" s="556"/>
      <c r="AN31" s="680" t="s">
        <v>246</v>
      </c>
    </row>
    <row r="32" spans="1:40" s="584" customFormat="1" ht="27" customHeight="1">
      <c r="A32" s="557">
        <v>22.678571428571502</v>
      </c>
      <c r="B32" s="560"/>
      <c r="C32" s="558"/>
      <c r="D32" s="673" t="s">
        <v>199</v>
      </c>
      <c r="E32" s="559"/>
      <c r="F32" s="559"/>
      <c r="G32" s="585"/>
      <c r="H32" s="651"/>
      <c r="I32" s="561"/>
      <c r="J32" s="559"/>
      <c r="K32" s="559"/>
      <c r="L32" s="562"/>
      <c r="M32" s="562"/>
      <c r="N32" s="563"/>
      <c r="O32" s="564"/>
      <c r="P32" s="565"/>
      <c r="Q32" s="664"/>
      <c r="R32" s="665"/>
      <c r="S32" s="665"/>
      <c r="T32" s="665"/>
      <c r="U32" s="666"/>
      <c r="V32" s="392"/>
      <c r="W32" s="410"/>
      <c r="X32" s="412"/>
      <c r="Y32" s="390"/>
      <c r="Z32" s="393"/>
      <c r="AA32" s="647">
        <f t="shared" ref="AA32" si="6">AA31/Z31</f>
        <v>-0.36270214291404446</v>
      </c>
      <c r="AB32" s="596"/>
      <c r="AC32" s="596"/>
      <c r="AD32" s="620"/>
      <c r="AE32" s="407"/>
      <c r="AF32" s="410"/>
      <c r="AG32" s="410"/>
      <c r="AH32" s="394"/>
      <c r="AI32" s="404"/>
      <c r="AJ32" s="566"/>
      <c r="AK32" s="567"/>
      <c r="AL32" s="567"/>
      <c r="AM32" s="568"/>
      <c r="AN32" s="681"/>
    </row>
    <row r="33" spans="1:40" s="584" customFormat="1" ht="27" customHeight="1">
      <c r="A33" s="557">
        <v>23.8857142857143</v>
      </c>
      <c r="B33" s="560"/>
      <c r="C33" s="557"/>
      <c r="D33" s="674"/>
      <c r="E33" s="569"/>
      <c r="F33" s="569"/>
      <c r="G33" s="585"/>
      <c r="H33" s="651"/>
      <c r="I33" s="561"/>
      <c r="J33" s="559"/>
      <c r="K33" s="559"/>
      <c r="L33" s="562"/>
      <c r="M33" s="562"/>
      <c r="N33" s="559"/>
      <c r="O33" s="570"/>
      <c r="P33" s="571"/>
      <c r="Q33" s="667"/>
      <c r="R33" s="668"/>
      <c r="S33" s="668"/>
      <c r="T33" s="668"/>
      <c r="U33" s="669"/>
      <c r="V33" s="392"/>
      <c r="W33" s="410"/>
      <c r="X33" s="412"/>
      <c r="Y33" s="390"/>
      <c r="Z33" s="393"/>
      <c r="AA33" s="393"/>
      <c r="AB33" s="596"/>
      <c r="AC33" s="596"/>
      <c r="AD33" s="621"/>
      <c r="AE33" s="408"/>
      <c r="AF33" s="410"/>
      <c r="AG33" s="410"/>
      <c r="AH33" s="394"/>
      <c r="AI33" s="404"/>
      <c r="AJ33" s="566"/>
      <c r="AK33" s="567"/>
      <c r="AL33" s="567"/>
      <c r="AM33" s="568"/>
      <c r="AN33" s="681"/>
    </row>
    <row r="34" spans="1:40" s="584" customFormat="1" ht="27" customHeight="1" thickBot="1">
      <c r="A34" s="572">
        <v>25.092857142857198</v>
      </c>
      <c r="B34" s="574"/>
      <c r="C34" s="572"/>
      <c r="D34" s="675"/>
      <c r="E34" s="573"/>
      <c r="F34" s="573"/>
      <c r="G34" s="575"/>
      <c r="H34" s="652"/>
      <c r="I34" s="576"/>
      <c r="J34" s="577"/>
      <c r="K34" s="577"/>
      <c r="L34" s="578"/>
      <c r="M34" s="578"/>
      <c r="N34" s="577"/>
      <c r="O34" s="579"/>
      <c r="P34" s="580"/>
      <c r="Q34" s="670"/>
      <c r="R34" s="671"/>
      <c r="S34" s="671"/>
      <c r="T34" s="671"/>
      <c r="U34" s="671"/>
      <c r="V34" s="395"/>
      <c r="W34" s="411"/>
      <c r="X34" s="413"/>
      <c r="Y34" s="391"/>
      <c r="Z34" s="389"/>
      <c r="AA34" s="648"/>
      <c r="AB34" s="597"/>
      <c r="AC34" s="597"/>
      <c r="AD34" s="622"/>
      <c r="AE34" s="409"/>
      <c r="AF34" s="411"/>
      <c r="AG34" s="411"/>
      <c r="AH34" s="396"/>
      <c r="AI34" s="405"/>
      <c r="AJ34" s="581"/>
      <c r="AK34" s="582"/>
      <c r="AL34" s="582"/>
      <c r="AM34" s="583"/>
      <c r="AN34" s="682"/>
    </row>
    <row r="35" spans="1:40" s="584" customFormat="1" ht="27" customHeight="1">
      <c r="A35" s="624">
        <v>8</v>
      </c>
      <c r="B35" s="770">
        <v>45566</v>
      </c>
      <c r="C35" s="625">
        <v>120000069056</v>
      </c>
      <c r="D35" s="672" t="s">
        <v>200</v>
      </c>
      <c r="E35" s="626" t="s">
        <v>75</v>
      </c>
      <c r="F35" s="626" t="s">
        <v>45</v>
      </c>
      <c r="G35" s="627">
        <v>60</v>
      </c>
      <c r="H35" s="768">
        <v>6.6000000000000003E-2</v>
      </c>
      <c r="I35" s="630">
        <v>45658</v>
      </c>
      <c r="J35" s="628">
        <v>7500</v>
      </c>
      <c r="K35" s="628"/>
      <c r="L35" s="599"/>
      <c r="M35" s="600">
        <f>IF(Table1351452010[[#This Row],[หัก ณ ที่จ่าย
(ค่าบริการ)]]="มี",Table1351452010[[#This Row],[ค่าบริการเฉลี่ยต่อเดือน]]*3%,0)</f>
        <v>0</v>
      </c>
      <c r="N35" s="552">
        <f>(Table1351452010[[#This Row],[ค่าบริการเฉลี่ยต่อเดือน]]-Table1351452010[[#This Row],[ต้นทุนช่องรายการ
(ถ้ามี)]]-Table1351452010[[#This Row],[มูลค่าหัก 3%]])</f>
        <v>7500</v>
      </c>
      <c r="O3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29700</v>
      </c>
      <c r="P35" s="761">
        <f>Table1351452010[[#This Row],[ระยะเวลาสัญญา
(เดือน)]]/$P$5</f>
        <v>5</v>
      </c>
      <c r="Q35" s="765">
        <f>Table1351452010[[#This Row],[Total
รายการเบิก
คอมขาย
(1)]]/5</f>
        <v>5940</v>
      </c>
      <c r="R35" s="766">
        <v>5940</v>
      </c>
      <c r="S35" s="766">
        <v>5940</v>
      </c>
      <c r="T35" s="766">
        <v>5940</v>
      </c>
      <c r="U35" s="766">
        <v>5940</v>
      </c>
      <c r="V35" s="629">
        <v>0</v>
      </c>
      <c r="W35" s="601"/>
      <c r="X35" s="602">
        <f>IF(Table1351452010[[#This Row],[หัก ณ ที่จ่าย
(ค่าติตั้ง)]]="มี",Table1351452010[[#This Row],[ค่าเชื่อมสัญญาณ/
ค่าติดตั้ง/
ค่าขายอุปกรณ์]]*$X$4,0)</f>
        <v>0</v>
      </c>
      <c r="Y35" s="397">
        <f>Table1351452010[[#This Row],[ค่าเชื่อมสัญญาณ/
ค่าติดตั้ง/
ค่าขายอุปกรณ์]]-Table1351452010[[#This Row],[มูลค่าหัก 3%
(ค่าติดตั้ง)]]</f>
        <v>0</v>
      </c>
      <c r="Z35" s="331">
        <v>0</v>
      </c>
      <c r="AA35" s="646">
        <f>Table1351452010[[#This Row],[ค่าเชื่อมสัญญาณ/
ค่าติดตั้ง/
ค่าขายอุปกรณ์
(เรียกเก็บสุทธิ)]]-Table1351452010[[#This Row],[ต้นทุน]]</f>
        <v>0</v>
      </c>
      <c r="AB35" s="789" t="str">
        <f>IF(Table1351452010[[#This Row],[ส่วนต่างกำไร]]&lt;(Table1351452010[[#This Row],[ต้นทุน]]*5%),Table1351452010[[#This Row],[ค่าเชื่อมสัญญาณ/
ค่าติดตั้ง/
ค่าขายอุปกรณ์
(เรียกเก็บสุทธิ)]]*$AB$3,"0")</f>
        <v>0</v>
      </c>
      <c r="AC35" s="789">
        <f>IF(Table1351452010[[#This Row],[ส่วนต่างกำไร]]&gt;=(Table1351452010[[#This Row],[ต้นทุน]]*5%),Table1351452010[[#This Row],[ค่าเชื่อมสัญญาณ/
ค่าติดตั้ง/
ค่าขายอุปกรณ์
(เรียกเก็บสุทธิ)]]*$AC$3,"0")</f>
        <v>0</v>
      </c>
      <c r="AD35" s="619">
        <f>SUM(Table1351452010[[#This Row],[คอมฯ
 5%]:[คอมฯ
10%]])</f>
        <v>0</v>
      </c>
      <c r="AE35" s="631">
        <v>0</v>
      </c>
      <c r="AF35" s="601"/>
      <c r="AG35" s="623">
        <f>IF(Table1351452010[[#This Row],[หัก ณ ที่จ่าย
(ค่าเชื่อมสัญญาณ)]]="มี",Table1351452010[[#This Row],[ค่าเชื่อมสัญญาณ]]*$AG$4,0)</f>
        <v>0</v>
      </c>
      <c r="AH35" s="398">
        <f>Table1351452010[[#This Row],[ค่าเชื่อมสัญญาณ]]-Table1351452010[[#This Row],[มูลค่าหัก 3%
(ค่าเชื่อมสัญญาณ)]]</f>
        <v>0</v>
      </c>
      <c r="AI35" s="403">
        <f>Table1351452010[[#This Row],[ค่าเชื่อมสัญญาณ
(เรียกเก็บสุทธิ)]]*$AI$3</f>
        <v>0</v>
      </c>
      <c r="AJ35" s="554">
        <f>Table1351452010[[#This Row],[สั่งจ่ายปีที่1]]+Table1351452010[[#This Row],[Total
ค่าเชื่มสัญญาณ/ค่าติดตั้ง/
ค่าขายอุปกรณ์
(2)]]+Table1351452010[[#This Row],[Total 
คอมฯค่าเชื่อมสัญญาณ
(3)]]</f>
        <v>5940</v>
      </c>
      <c r="AK35" s="555"/>
      <c r="AL35" s="555"/>
      <c r="AM35" s="556"/>
      <c r="AN35" s="680" t="s">
        <v>246</v>
      </c>
    </row>
    <row r="36" spans="1:40" s="584" customFormat="1" ht="27" customHeight="1">
      <c r="A36" s="557"/>
      <c r="B36" s="560"/>
      <c r="C36" s="558"/>
      <c r="D36" s="673" t="s">
        <v>201</v>
      </c>
      <c r="E36" s="559"/>
      <c r="F36" s="559"/>
      <c r="G36" s="585"/>
      <c r="H36" s="651"/>
      <c r="I36" s="561"/>
      <c r="J36" s="559"/>
      <c r="K36" s="559"/>
      <c r="L36" s="562"/>
      <c r="M36" s="562"/>
      <c r="N36" s="563"/>
      <c r="O36" s="564"/>
      <c r="P36" s="565"/>
      <c r="Q36" s="664"/>
      <c r="R36" s="665"/>
      <c r="S36" s="665"/>
      <c r="T36" s="665"/>
      <c r="U36" s="666"/>
      <c r="V36" s="392"/>
      <c r="W36" s="410"/>
      <c r="X36" s="412"/>
      <c r="Y36" s="390"/>
      <c r="Z36" s="393"/>
      <c r="AA36" s="647" t="e">
        <f t="shared" ref="AA36" si="7">AA35/Z35</f>
        <v>#DIV/0!</v>
      </c>
      <c r="AB36" s="596"/>
      <c r="AC36" s="596"/>
      <c r="AD36" s="620"/>
      <c r="AE36" s="407"/>
      <c r="AF36" s="410"/>
      <c r="AG36" s="410"/>
      <c r="AH36" s="394"/>
      <c r="AI36" s="404"/>
      <c r="AJ36" s="566"/>
      <c r="AK36" s="567"/>
      <c r="AL36" s="567"/>
      <c r="AM36" s="568"/>
      <c r="AN36" s="681"/>
    </row>
    <row r="37" spans="1:40" s="584" customFormat="1" ht="27" customHeight="1">
      <c r="A37" s="557"/>
      <c r="B37" s="560"/>
      <c r="C37" s="557"/>
      <c r="D37" s="674"/>
      <c r="E37" s="569"/>
      <c r="F37" s="569"/>
      <c r="G37" s="585"/>
      <c r="H37" s="651"/>
      <c r="I37" s="561"/>
      <c r="J37" s="559"/>
      <c r="K37" s="559"/>
      <c r="L37" s="562"/>
      <c r="M37" s="562"/>
      <c r="N37" s="559"/>
      <c r="O37" s="570"/>
      <c r="P37" s="571"/>
      <c r="Q37" s="667"/>
      <c r="R37" s="668"/>
      <c r="S37" s="668"/>
      <c r="T37" s="668"/>
      <c r="U37" s="669"/>
      <c r="V37" s="392"/>
      <c r="W37" s="410"/>
      <c r="X37" s="412"/>
      <c r="Y37" s="390"/>
      <c r="Z37" s="393"/>
      <c r="AA37" s="393"/>
      <c r="AB37" s="596"/>
      <c r="AC37" s="596"/>
      <c r="AD37" s="621"/>
      <c r="AE37" s="408"/>
      <c r="AF37" s="410"/>
      <c r="AG37" s="410"/>
      <c r="AH37" s="394"/>
      <c r="AI37" s="404"/>
      <c r="AJ37" s="566"/>
      <c r="AK37" s="567"/>
      <c r="AL37" s="567"/>
      <c r="AM37" s="568"/>
      <c r="AN37" s="681"/>
    </row>
    <row r="38" spans="1:40" s="584" customFormat="1" ht="27" customHeight="1" thickBot="1">
      <c r="A38" s="572"/>
      <c r="B38" s="574"/>
      <c r="C38" s="572"/>
      <c r="D38" s="675"/>
      <c r="E38" s="573"/>
      <c r="F38" s="573"/>
      <c r="G38" s="575"/>
      <c r="H38" s="652"/>
      <c r="I38" s="576"/>
      <c r="J38" s="577"/>
      <c r="K38" s="577"/>
      <c r="L38" s="578"/>
      <c r="M38" s="578"/>
      <c r="N38" s="577"/>
      <c r="O38" s="579"/>
      <c r="P38" s="580"/>
      <c r="Q38" s="670"/>
      <c r="R38" s="671"/>
      <c r="S38" s="671"/>
      <c r="T38" s="671"/>
      <c r="U38" s="671"/>
      <c r="V38" s="395"/>
      <c r="W38" s="411"/>
      <c r="X38" s="413"/>
      <c r="Y38" s="391"/>
      <c r="Z38" s="389"/>
      <c r="AA38" s="648"/>
      <c r="AB38" s="597"/>
      <c r="AC38" s="597"/>
      <c r="AD38" s="622"/>
      <c r="AE38" s="409"/>
      <c r="AF38" s="411"/>
      <c r="AG38" s="411"/>
      <c r="AH38" s="396"/>
      <c r="AI38" s="405"/>
      <c r="AJ38" s="581"/>
      <c r="AK38" s="582"/>
      <c r="AL38" s="582"/>
      <c r="AM38" s="583"/>
      <c r="AN38" s="682"/>
    </row>
    <row r="39" spans="1:40" s="584" customFormat="1" ht="27" customHeight="1">
      <c r="A39" s="624">
        <v>9</v>
      </c>
      <c r="B39" s="770">
        <v>45566</v>
      </c>
      <c r="C39" s="625">
        <v>120000055425</v>
      </c>
      <c r="D39" s="672" t="s">
        <v>202</v>
      </c>
      <c r="E39" s="626" t="s">
        <v>70</v>
      </c>
      <c r="F39" s="626" t="s">
        <v>45</v>
      </c>
      <c r="G39" s="627">
        <v>12</v>
      </c>
      <c r="H39" s="768">
        <v>6.6000000000000003E-2</v>
      </c>
      <c r="I39" s="630" t="s">
        <v>247</v>
      </c>
      <c r="J39" s="628">
        <v>1000</v>
      </c>
      <c r="K39" s="628"/>
      <c r="L39" s="599" t="s">
        <v>210</v>
      </c>
      <c r="M39" s="600">
        <f>IF(Table1351452010[[#This Row],[หัก ณ ที่จ่าย
(ค่าบริการ)]]="มี",Table1351452010[[#This Row],[ค่าบริการเฉลี่ยต่อเดือน]]*3%,0)</f>
        <v>0</v>
      </c>
      <c r="N39" s="552">
        <f>(Table1351452010[[#This Row],[ค่าบริการเฉลี่ยต่อเดือน]]-Table1351452010[[#This Row],[ต้นทุนช่องรายการ
(ถ้ามี)]]-Table1351452010[[#This Row],[มูลค่าหัก 3%]])</f>
        <v>1000</v>
      </c>
      <c r="O3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792</v>
      </c>
      <c r="P39" s="761">
        <f>Table1351452010[[#This Row],[ระยะเวลาสัญญา
(เดือน)]]/$P$5</f>
        <v>1</v>
      </c>
      <c r="Q39" s="765">
        <f>Table1351452010[[#This Row],[Total
รายการเบิก
คอมขาย
(1)]]</f>
        <v>792</v>
      </c>
      <c r="R39" s="766"/>
      <c r="S39" s="766"/>
      <c r="T39" s="766"/>
      <c r="U39" s="764"/>
      <c r="V39" s="629">
        <v>0</v>
      </c>
      <c r="W39" s="601"/>
      <c r="X39" s="602">
        <f>IF(Table1351452010[[#This Row],[หัก ณ ที่จ่าย
(ค่าติตั้ง)]]="มี",Table1351452010[[#This Row],[ค่าเชื่อมสัญญาณ/
ค่าติดตั้ง/
ค่าขายอุปกรณ์]]*$X$4,0)</f>
        <v>0</v>
      </c>
      <c r="Y39" s="397">
        <f>Table1351452010[[#This Row],[ค่าเชื่อมสัญญาณ/
ค่าติดตั้ง/
ค่าขายอุปกรณ์]]-Table1351452010[[#This Row],[มูลค่าหัก 3%
(ค่าติดตั้ง)]]</f>
        <v>0</v>
      </c>
      <c r="Z39" s="331">
        <v>0</v>
      </c>
      <c r="AA39" s="646">
        <f>Table1351452010[[#This Row],[ค่าเชื่อมสัญญาณ/
ค่าติดตั้ง/
ค่าขายอุปกรณ์
(เรียกเก็บสุทธิ)]]-Table1351452010[[#This Row],[ต้นทุน]]</f>
        <v>0</v>
      </c>
      <c r="AB39" s="789" t="str">
        <f>IF(Table1351452010[[#This Row],[ส่วนต่างกำไร]]&lt;(Table1351452010[[#This Row],[ต้นทุน]]*5%),Table1351452010[[#This Row],[ค่าเชื่อมสัญญาณ/
ค่าติดตั้ง/
ค่าขายอุปกรณ์
(เรียกเก็บสุทธิ)]]*$AB$3,"0")</f>
        <v>0</v>
      </c>
      <c r="AC39" s="789">
        <f>IF(Table1351452010[[#This Row],[ส่วนต่างกำไร]]&gt;=(Table1351452010[[#This Row],[ต้นทุน]]*5%),Table1351452010[[#This Row],[ค่าเชื่อมสัญญาณ/
ค่าติดตั้ง/
ค่าขายอุปกรณ์
(เรียกเก็บสุทธิ)]]*$AC$3,"0")</f>
        <v>0</v>
      </c>
      <c r="AD39" s="619">
        <f>SUM(Table1351452010[[#This Row],[คอมฯ
 5%]:[คอมฯ
10%]])</f>
        <v>0</v>
      </c>
      <c r="AE39" s="631">
        <v>0</v>
      </c>
      <c r="AF39" s="601"/>
      <c r="AG39" s="623">
        <f>IF(Table1351452010[[#This Row],[หัก ณ ที่จ่าย
(ค่าเชื่อมสัญญาณ)]]="มี",Table1351452010[[#This Row],[ค่าเชื่อมสัญญาณ]]*$AG$4,0)</f>
        <v>0</v>
      </c>
      <c r="AH39" s="398">
        <f>Table1351452010[[#This Row],[ค่าเชื่อมสัญญาณ]]-Table1351452010[[#This Row],[มูลค่าหัก 3%
(ค่าเชื่อมสัญญาณ)]]</f>
        <v>0</v>
      </c>
      <c r="AI39" s="403">
        <f>Table1351452010[[#This Row],[ค่าเชื่อมสัญญาณ
(เรียกเก็บสุทธิ)]]*$AI$3</f>
        <v>0</v>
      </c>
      <c r="AJ39" s="554">
        <f>Table1351452010[[#This Row],[สั่งจ่ายปีที่1]]+Table1351452010[[#This Row],[Total
ค่าเชื่มสัญญาณ/ค่าติดตั้ง/
ค่าขายอุปกรณ์
(2)]]+Table1351452010[[#This Row],[Total 
คอมฯค่าเชื่อมสัญญาณ
(3)]]</f>
        <v>792</v>
      </c>
      <c r="AK39" s="555" t="s">
        <v>173</v>
      </c>
      <c r="AL39" s="555" t="s">
        <v>174</v>
      </c>
      <c r="AM39" s="556" t="s">
        <v>175</v>
      </c>
      <c r="AN39" s="680" t="s">
        <v>249</v>
      </c>
    </row>
    <row r="40" spans="1:40" s="584" customFormat="1" ht="27" customHeight="1">
      <c r="A40" s="557"/>
      <c r="B40" s="560"/>
      <c r="C40" s="558"/>
      <c r="D40" s="673" t="s">
        <v>172</v>
      </c>
      <c r="E40" s="559"/>
      <c r="F40" s="559"/>
      <c r="G40" s="585"/>
      <c r="H40" s="651"/>
      <c r="I40" s="561"/>
      <c r="J40" s="559"/>
      <c r="K40" s="559"/>
      <c r="L40" s="562"/>
      <c r="M40" s="562"/>
      <c r="N40" s="563"/>
      <c r="O40" s="564"/>
      <c r="P40" s="565"/>
      <c r="Q40" s="664" t="s">
        <v>252</v>
      </c>
      <c r="R40" s="665"/>
      <c r="S40" s="665"/>
      <c r="T40" s="665"/>
      <c r="U40" s="666"/>
      <c r="V40" s="392"/>
      <c r="W40" s="410"/>
      <c r="X40" s="412"/>
      <c r="Y40" s="390"/>
      <c r="Z40" s="393"/>
      <c r="AA40" s="647" t="e">
        <f t="shared" ref="AA40" si="8">AA39/Z39</f>
        <v>#DIV/0!</v>
      </c>
      <c r="AB40" s="596"/>
      <c r="AC40" s="596"/>
      <c r="AD40" s="620"/>
      <c r="AE40" s="407"/>
      <c r="AF40" s="410"/>
      <c r="AG40" s="410"/>
      <c r="AH40" s="394"/>
      <c r="AI40" s="404"/>
      <c r="AJ40" s="566"/>
      <c r="AK40" s="567"/>
      <c r="AL40" s="567"/>
      <c r="AM40" s="568"/>
      <c r="AN40" s="681" t="s">
        <v>250</v>
      </c>
    </row>
    <row r="41" spans="1:40" s="584" customFormat="1" ht="27" customHeight="1">
      <c r="A41" s="557"/>
      <c r="B41" s="560"/>
      <c r="C41" s="557"/>
      <c r="D41" s="674"/>
      <c r="E41" s="569"/>
      <c r="F41" s="569"/>
      <c r="G41" s="585"/>
      <c r="H41" s="651"/>
      <c r="I41" s="561"/>
      <c r="J41" s="559"/>
      <c r="K41" s="559"/>
      <c r="L41" s="562"/>
      <c r="M41" s="562"/>
      <c r="N41" s="559"/>
      <c r="O41" s="570"/>
      <c r="P41" s="571"/>
      <c r="Q41" s="667"/>
      <c r="R41" s="668"/>
      <c r="S41" s="668"/>
      <c r="T41" s="668"/>
      <c r="U41" s="669"/>
      <c r="V41" s="392"/>
      <c r="W41" s="410"/>
      <c r="X41" s="412"/>
      <c r="Y41" s="390"/>
      <c r="Z41" s="393"/>
      <c r="AA41" s="393"/>
      <c r="AB41" s="596"/>
      <c r="AC41" s="596"/>
      <c r="AD41" s="621"/>
      <c r="AE41" s="408"/>
      <c r="AF41" s="410"/>
      <c r="AG41" s="410"/>
      <c r="AH41" s="394"/>
      <c r="AI41" s="404"/>
      <c r="AJ41" s="566"/>
      <c r="AK41" s="567"/>
      <c r="AL41" s="567"/>
      <c r="AM41" s="568"/>
      <c r="AN41" s="681"/>
    </row>
    <row r="42" spans="1:40" s="584" customFormat="1" ht="27" customHeight="1" thickBot="1">
      <c r="A42" s="572"/>
      <c r="B42" s="574"/>
      <c r="C42" s="572"/>
      <c r="D42" s="675"/>
      <c r="E42" s="573"/>
      <c r="F42" s="573"/>
      <c r="G42" s="575"/>
      <c r="H42" s="652"/>
      <c r="I42" s="576"/>
      <c r="J42" s="577"/>
      <c r="K42" s="577"/>
      <c r="L42" s="578"/>
      <c r="M42" s="578"/>
      <c r="N42" s="577"/>
      <c r="O42" s="579"/>
      <c r="P42" s="580"/>
      <c r="Q42" s="670"/>
      <c r="R42" s="671"/>
      <c r="S42" s="671"/>
      <c r="T42" s="671"/>
      <c r="U42" s="671"/>
      <c r="V42" s="395"/>
      <c r="W42" s="411"/>
      <c r="X42" s="413"/>
      <c r="Y42" s="391"/>
      <c r="Z42" s="389"/>
      <c r="AA42" s="648"/>
      <c r="AB42" s="597"/>
      <c r="AC42" s="597"/>
      <c r="AD42" s="622"/>
      <c r="AE42" s="409"/>
      <c r="AF42" s="411"/>
      <c r="AG42" s="411"/>
      <c r="AH42" s="396"/>
      <c r="AI42" s="405"/>
      <c r="AJ42" s="581"/>
      <c r="AK42" s="582"/>
      <c r="AL42" s="582"/>
      <c r="AM42" s="583"/>
      <c r="AN42" s="682"/>
    </row>
    <row r="43" spans="1:40" s="584" customFormat="1" ht="27" customHeight="1">
      <c r="A43" s="624">
        <v>10</v>
      </c>
      <c r="B43" s="770">
        <v>45566</v>
      </c>
      <c r="C43" s="625" t="s">
        <v>247</v>
      </c>
      <c r="D43" s="672" t="s">
        <v>203</v>
      </c>
      <c r="E43" s="626" t="s">
        <v>67</v>
      </c>
      <c r="F43" s="626" t="s">
        <v>45</v>
      </c>
      <c r="G43" s="627">
        <v>12</v>
      </c>
      <c r="H43" s="768">
        <v>6.6000000000000003E-2</v>
      </c>
      <c r="I43" s="630" t="s">
        <v>247</v>
      </c>
      <c r="J43" s="628">
        <v>2700</v>
      </c>
      <c r="K43" s="628"/>
      <c r="L43" s="599"/>
      <c r="M43" s="600">
        <f>IF(Table1351452010[[#This Row],[หัก ณ ที่จ่าย
(ค่าบริการ)]]="มี",Table1351452010[[#This Row],[ค่าบริการเฉลี่ยต่อเดือน]]*3%,0)</f>
        <v>0</v>
      </c>
      <c r="N43" s="552">
        <f>(Table1351452010[[#This Row],[ค่าบริการเฉลี่ยต่อเดือน]]-Table1351452010[[#This Row],[ต้นทุนช่องรายการ
(ถ้ามี)]]-Table1351452010[[#This Row],[มูลค่าหัก 3%]])</f>
        <v>2700</v>
      </c>
      <c r="O4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2138.4</v>
      </c>
      <c r="P43" s="761">
        <f>Table1351452010[[#This Row],[ระยะเวลาสัญญา
(เดือน)]]/$P$5</f>
        <v>1</v>
      </c>
      <c r="Q43" s="765">
        <f>Table1351452010[[#This Row],[Total
รายการเบิก
คอมขาย
(1)]]</f>
        <v>2138.4</v>
      </c>
      <c r="R43" s="766"/>
      <c r="S43" s="766"/>
      <c r="T43" s="766"/>
      <c r="U43" s="764"/>
      <c r="V43" s="629">
        <v>0</v>
      </c>
      <c r="W43" s="601"/>
      <c r="X43" s="602">
        <f>IF(Table1351452010[[#This Row],[หัก ณ ที่จ่าย
(ค่าติตั้ง)]]="มี",Table1351452010[[#This Row],[ค่าเชื่อมสัญญาณ/
ค่าติดตั้ง/
ค่าขายอุปกรณ์]]*$X$4,0)</f>
        <v>0</v>
      </c>
      <c r="Y43" s="397">
        <f>Table1351452010[[#This Row],[ค่าเชื่อมสัญญาณ/
ค่าติดตั้ง/
ค่าขายอุปกรณ์]]-Table1351452010[[#This Row],[มูลค่าหัก 3%
(ค่าติดตั้ง)]]</f>
        <v>0</v>
      </c>
      <c r="Z43" s="331">
        <v>0</v>
      </c>
      <c r="AA43" s="646">
        <f>Table1351452010[[#This Row],[ค่าเชื่อมสัญญาณ/
ค่าติดตั้ง/
ค่าขายอุปกรณ์
(เรียกเก็บสุทธิ)]]-Table1351452010[[#This Row],[ต้นทุน]]</f>
        <v>0</v>
      </c>
      <c r="AB43" s="789" t="str">
        <f>IF(Table1351452010[[#This Row],[ส่วนต่างกำไร]]&lt;(Table1351452010[[#This Row],[ต้นทุน]]*5%),Table1351452010[[#This Row],[ค่าเชื่อมสัญญาณ/
ค่าติดตั้ง/
ค่าขายอุปกรณ์
(เรียกเก็บสุทธิ)]]*$AB$3,"0")</f>
        <v>0</v>
      </c>
      <c r="AC43" s="789">
        <f>IF(Table1351452010[[#This Row],[ส่วนต่างกำไร]]&gt;=(Table1351452010[[#This Row],[ต้นทุน]]*5%),Table1351452010[[#This Row],[ค่าเชื่อมสัญญาณ/
ค่าติดตั้ง/
ค่าขายอุปกรณ์
(เรียกเก็บสุทธิ)]]*$AC$3,"0")</f>
        <v>0</v>
      </c>
      <c r="AD43" s="619">
        <f>SUM(Table1351452010[[#This Row],[คอมฯ
 5%]:[คอมฯ
10%]])</f>
        <v>0</v>
      </c>
      <c r="AE43" s="631">
        <v>0</v>
      </c>
      <c r="AF43" s="601"/>
      <c r="AG43" s="623">
        <f>IF(Table1351452010[[#This Row],[หัก ณ ที่จ่าย
(ค่าเชื่อมสัญญาณ)]]="มี",Table1351452010[[#This Row],[ค่าเชื่อมสัญญาณ]]*$AG$4,0)</f>
        <v>0</v>
      </c>
      <c r="AH43" s="398">
        <f>Table1351452010[[#This Row],[ค่าเชื่อมสัญญาณ]]-Table1351452010[[#This Row],[มูลค่าหัก 3%
(ค่าเชื่อมสัญญาณ)]]</f>
        <v>0</v>
      </c>
      <c r="AI43" s="403">
        <f>Table1351452010[[#This Row],[ค่าเชื่อมสัญญาณ
(เรียกเก็บสุทธิ)]]*$AI$3</f>
        <v>0</v>
      </c>
      <c r="AJ43" s="554">
        <f>Table1351452010[[#This Row],[สั่งจ่ายปีที่1]]+Table1351452010[[#This Row],[Total
ค่าเชื่มสัญญาณ/ค่าติดตั้ง/
ค่าขายอุปกรณ์
(2)]]+Table1351452010[[#This Row],[Total 
คอมฯค่าเชื่อมสัญญาณ
(3)]]</f>
        <v>2138.4</v>
      </c>
      <c r="AK43" s="555"/>
      <c r="AL43" s="555"/>
      <c r="AM43" s="556"/>
      <c r="AN43" s="680" t="s">
        <v>246</v>
      </c>
    </row>
    <row r="44" spans="1:40" s="584" customFormat="1" ht="27" customHeight="1">
      <c r="A44" s="557"/>
      <c r="B44" s="560"/>
      <c r="C44" s="558"/>
      <c r="D44" s="673" t="s">
        <v>204</v>
      </c>
      <c r="E44" s="559"/>
      <c r="F44" s="559"/>
      <c r="G44" s="585"/>
      <c r="H44" s="651"/>
      <c r="I44" s="561"/>
      <c r="J44" s="559"/>
      <c r="K44" s="559"/>
      <c r="L44" s="562"/>
      <c r="M44" s="562"/>
      <c r="N44" s="563"/>
      <c r="O44" s="564"/>
      <c r="P44" s="565"/>
      <c r="Q44" s="664"/>
      <c r="R44" s="665"/>
      <c r="S44" s="665"/>
      <c r="T44" s="665"/>
      <c r="U44" s="666"/>
      <c r="V44" s="392"/>
      <c r="W44" s="410"/>
      <c r="X44" s="412"/>
      <c r="Y44" s="390"/>
      <c r="Z44" s="393"/>
      <c r="AA44" s="647" t="e">
        <f t="shared" ref="AA44" si="9">AA43/Z43</f>
        <v>#DIV/0!</v>
      </c>
      <c r="AB44" s="596"/>
      <c r="AC44" s="596"/>
      <c r="AD44" s="620"/>
      <c r="AE44" s="407"/>
      <c r="AF44" s="410"/>
      <c r="AG44" s="410"/>
      <c r="AH44" s="394"/>
      <c r="AI44" s="404"/>
      <c r="AJ44" s="566"/>
      <c r="AK44" s="567"/>
      <c r="AL44" s="567"/>
      <c r="AM44" s="568"/>
      <c r="AN44" s="681"/>
    </row>
    <row r="45" spans="1:40" s="584" customFormat="1" ht="27" customHeight="1">
      <c r="A45" s="557"/>
      <c r="B45" s="560"/>
      <c r="C45" s="557"/>
      <c r="D45" s="674"/>
      <c r="E45" s="569"/>
      <c r="F45" s="569"/>
      <c r="G45" s="585"/>
      <c r="H45" s="651"/>
      <c r="I45" s="561"/>
      <c r="J45" s="559"/>
      <c r="K45" s="559"/>
      <c r="L45" s="562"/>
      <c r="M45" s="562"/>
      <c r="N45" s="559"/>
      <c r="O45" s="570"/>
      <c r="P45" s="571"/>
      <c r="Q45" s="667"/>
      <c r="R45" s="668"/>
      <c r="S45" s="668"/>
      <c r="T45" s="668"/>
      <c r="U45" s="669"/>
      <c r="V45" s="392"/>
      <c r="W45" s="410"/>
      <c r="X45" s="412"/>
      <c r="Y45" s="390"/>
      <c r="Z45" s="393"/>
      <c r="AA45" s="393"/>
      <c r="AB45" s="596"/>
      <c r="AC45" s="596"/>
      <c r="AD45" s="621"/>
      <c r="AE45" s="408"/>
      <c r="AF45" s="410"/>
      <c r="AG45" s="410"/>
      <c r="AH45" s="394"/>
      <c r="AI45" s="404"/>
      <c r="AJ45" s="566"/>
      <c r="AK45" s="567"/>
      <c r="AL45" s="567"/>
      <c r="AM45" s="568"/>
      <c r="AN45" s="681"/>
    </row>
    <row r="46" spans="1:40" s="584" customFormat="1" ht="27" customHeight="1" thickBot="1">
      <c r="A46" s="572"/>
      <c r="B46" s="574"/>
      <c r="C46" s="572"/>
      <c r="D46" s="675"/>
      <c r="E46" s="573"/>
      <c r="F46" s="573"/>
      <c r="G46" s="575"/>
      <c r="H46" s="652"/>
      <c r="I46" s="576"/>
      <c r="J46" s="577"/>
      <c r="K46" s="577"/>
      <c r="L46" s="578"/>
      <c r="M46" s="578"/>
      <c r="N46" s="577"/>
      <c r="O46" s="579"/>
      <c r="P46" s="580"/>
      <c r="Q46" s="670"/>
      <c r="R46" s="671"/>
      <c r="S46" s="671"/>
      <c r="T46" s="671"/>
      <c r="U46" s="671"/>
      <c r="V46" s="395"/>
      <c r="W46" s="411"/>
      <c r="X46" s="413"/>
      <c r="Y46" s="391"/>
      <c r="Z46" s="389"/>
      <c r="AA46" s="648"/>
      <c r="AB46" s="597"/>
      <c r="AC46" s="597"/>
      <c r="AD46" s="622"/>
      <c r="AE46" s="409"/>
      <c r="AF46" s="411"/>
      <c r="AG46" s="411"/>
      <c r="AH46" s="396"/>
      <c r="AI46" s="405"/>
      <c r="AJ46" s="581"/>
      <c r="AK46" s="582"/>
      <c r="AL46" s="582"/>
      <c r="AM46" s="583"/>
      <c r="AN46" s="682"/>
    </row>
    <row r="47" spans="1:40" s="584" customFormat="1" ht="27" customHeight="1">
      <c r="A47" s="624">
        <v>11</v>
      </c>
      <c r="B47" s="770">
        <v>45566</v>
      </c>
      <c r="C47" s="625">
        <v>120000055767</v>
      </c>
      <c r="D47" s="672" t="s">
        <v>251</v>
      </c>
      <c r="E47" s="626" t="s">
        <v>67</v>
      </c>
      <c r="F47" s="626" t="s">
        <v>45</v>
      </c>
      <c r="G47" s="627">
        <v>24</v>
      </c>
      <c r="H47" s="768">
        <v>6.6000000000000003E-2</v>
      </c>
      <c r="I47" s="630">
        <v>45597</v>
      </c>
      <c r="J47" s="628">
        <v>2000</v>
      </c>
      <c r="K47" s="628"/>
      <c r="L47" s="599" t="s">
        <v>210</v>
      </c>
      <c r="M47" s="600">
        <f>IF(Table1351452010[[#This Row],[หัก ณ ที่จ่าย
(ค่าบริการ)]]="มี",Table1351452010[[#This Row],[ค่าบริการเฉลี่ยต่อเดือน]]*3%,0)</f>
        <v>0</v>
      </c>
      <c r="N47" s="552">
        <f>(Table1351452010[[#This Row],[ค่าบริการเฉลี่ยต่อเดือน]]-Table1351452010[[#This Row],[ต้นทุนช่องรายการ
(ถ้ามี)]]-Table1351452010[[#This Row],[มูลค่าหัก 3%]])</f>
        <v>2000</v>
      </c>
      <c r="O4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3168</v>
      </c>
      <c r="P47" s="761">
        <f>Table1351452010[[#This Row],[ระยะเวลาสัญญา
(เดือน)]]/$P$5</f>
        <v>2</v>
      </c>
      <c r="Q47" s="765">
        <f>Table1351452010[[#This Row],[Total
รายการเบิก
คอมขาย
(1)]]/2</f>
        <v>1584</v>
      </c>
      <c r="R47" s="766">
        <v>1584</v>
      </c>
      <c r="S47" s="766"/>
      <c r="T47" s="766"/>
      <c r="U47" s="764"/>
      <c r="V47" s="629">
        <v>0</v>
      </c>
      <c r="W47" s="601"/>
      <c r="X47" s="602">
        <f>IF(Table1351452010[[#This Row],[หัก ณ ที่จ่าย
(ค่าติตั้ง)]]="มี",Table1351452010[[#This Row],[ค่าเชื่อมสัญญาณ/
ค่าติดตั้ง/
ค่าขายอุปกรณ์]]*$X$4,0)</f>
        <v>0</v>
      </c>
      <c r="Y47" s="397">
        <f>Table1351452010[[#This Row],[ค่าเชื่อมสัญญาณ/
ค่าติดตั้ง/
ค่าขายอุปกรณ์]]-Table1351452010[[#This Row],[มูลค่าหัก 3%
(ค่าติดตั้ง)]]</f>
        <v>0</v>
      </c>
      <c r="Z47" s="331">
        <v>0</v>
      </c>
      <c r="AA47" s="646">
        <f>Table1351452010[[#This Row],[ค่าเชื่อมสัญญาณ/
ค่าติดตั้ง/
ค่าขายอุปกรณ์
(เรียกเก็บสุทธิ)]]-Table1351452010[[#This Row],[ต้นทุน]]</f>
        <v>0</v>
      </c>
      <c r="AB47" s="789" t="str">
        <f>IF(Table1351452010[[#This Row],[ส่วนต่างกำไร]]&lt;(Table1351452010[[#This Row],[ต้นทุน]]*5%),Table1351452010[[#This Row],[ค่าเชื่อมสัญญาณ/
ค่าติดตั้ง/
ค่าขายอุปกรณ์
(เรียกเก็บสุทธิ)]]*$AB$3,"0")</f>
        <v>0</v>
      </c>
      <c r="AC47" s="789">
        <f>IF(Table1351452010[[#This Row],[ส่วนต่างกำไร]]&gt;=(Table1351452010[[#This Row],[ต้นทุน]]*5%),Table1351452010[[#This Row],[ค่าเชื่อมสัญญาณ/
ค่าติดตั้ง/
ค่าขายอุปกรณ์
(เรียกเก็บสุทธิ)]]*$AC$3,"0")</f>
        <v>0</v>
      </c>
      <c r="AD47" s="619">
        <f>SUM(Table1351452010[[#This Row],[คอมฯ
 5%]:[คอมฯ
10%]])</f>
        <v>0</v>
      </c>
      <c r="AE47" s="631">
        <v>0</v>
      </c>
      <c r="AF47" s="601"/>
      <c r="AG47" s="623">
        <f>IF(Table1351452010[[#This Row],[หัก ณ ที่จ่าย
(ค่าเชื่อมสัญญาณ)]]="มี",Table1351452010[[#This Row],[ค่าเชื่อมสัญญาณ]]*$AG$4,0)</f>
        <v>0</v>
      </c>
      <c r="AH47" s="398">
        <f>Table1351452010[[#This Row],[ค่าเชื่อมสัญญาณ]]-Table1351452010[[#This Row],[มูลค่าหัก 3%
(ค่าเชื่อมสัญญาณ)]]</f>
        <v>0</v>
      </c>
      <c r="AI47" s="403">
        <f>Table1351452010[[#This Row],[ค่าเชื่อมสัญญาณ
(เรียกเก็บสุทธิ)]]*$AI$3</f>
        <v>0</v>
      </c>
      <c r="AJ47" s="554">
        <f>Table1351452010[[#This Row],[สั่งจ่ายปีที่1]]+Table1351452010[[#This Row],[Total
ค่าเชื่มสัญญาณ/ค่าติดตั้ง/
ค่าขายอุปกรณ์
(2)]]+Table1351452010[[#This Row],[Total 
คอมฯค่าเชื่อมสัญญาณ
(3)]]</f>
        <v>1584</v>
      </c>
      <c r="AK47" s="555" t="s">
        <v>226</v>
      </c>
      <c r="AL47" s="555" t="s">
        <v>227</v>
      </c>
      <c r="AM47" s="556" t="s">
        <v>175</v>
      </c>
      <c r="AN47" s="680" t="s">
        <v>249</v>
      </c>
    </row>
    <row r="48" spans="1:40" s="584" customFormat="1" ht="27" customHeight="1">
      <c r="A48" s="557"/>
      <c r="B48" s="560"/>
      <c r="C48" s="558"/>
      <c r="D48" s="673" t="s">
        <v>253</v>
      </c>
      <c r="E48" s="559"/>
      <c r="F48" s="559"/>
      <c r="G48" s="585"/>
      <c r="H48" s="651"/>
      <c r="I48" s="561"/>
      <c r="J48" s="559"/>
      <c r="K48" s="559"/>
      <c r="L48" s="562"/>
      <c r="M48" s="562"/>
      <c r="N48" s="563"/>
      <c r="O48" s="564"/>
      <c r="P48" s="565"/>
      <c r="Q48" s="664" t="s">
        <v>252</v>
      </c>
      <c r="R48" s="711" t="s">
        <v>284</v>
      </c>
      <c r="S48" s="665"/>
      <c r="T48" s="665"/>
      <c r="U48" s="666"/>
      <c r="V48" s="392"/>
      <c r="W48" s="410"/>
      <c r="X48" s="412"/>
      <c r="Y48" s="390"/>
      <c r="Z48" s="393"/>
      <c r="AA48" s="647" t="e">
        <f t="shared" ref="AA48" si="10">AA47/Z47</f>
        <v>#DIV/0!</v>
      </c>
      <c r="AB48" s="596"/>
      <c r="AC48" s="596"/>
      <c r="AD48" s="620"/>
      <c r="AE48" s="407"/>
      <c r="AF48" s="410"/>
      <c r="AG48" s="410"/>
      <c r="AH48" s="394"/>
      <c r="AI48" s="404"/>
      <c r="AJ48" s="566"/>
      <c r="AK48" s="567"/>
      <c r="AL48" s="567"/>
      <c r="AM48" s="568"/>
      <c r="AN48" s="681" t="s">
        <v>250</v>
      </c>
    </row>
    <row r="49" spans="1:40" s="584" customFormat="1" ht="27" customHeight="1">
      <c r="A49" s="557"/>
      <c r="B49" s="560"/>
      <c r="C49" s="557"/>
      <c r="D49" s="674"/>
      <c r="E49" s="569"/>
      <c r="F49" s="569"/>
      <c r="G49" s="585"/>
      <c r="H49" s="651"/>
      <c r="I49" s="561"/>
      <c r="J49" s="559"/>
      <c r="K49" s="559"/>
      <c r="L49" s="562"/>
      <c r="M49" s="562"/>
      <c r="N49" s="559"/>
      <c r="O49" s="570"/>
      <c r="P49" s="571"/>
      <c r="Q49" s="667"/>
      <c r="R49" s="668"/>
      <c r="S49" s="668"/>
      <c r="T49" s="668"/>
      <c r="U49" s="669"/>
      <c r="V49" s="392"/>
      <c r="W49" s="410"/>
      <c r="X49" s="412"/>
      <c r="Y49" s="390"/>
      <c r="Z49" s="393"/>
      <c r="AA49" s="393"/>
      <c r="AB49" s="596"/>
      <c r="AC49" s="596"/>
      <c r="AD49" s="621"/>
      <c r="AE49" s="408"/>
      <c r="AF49" s="410"/>
      <c r="AG49" s="410"/>
      <c r="AH49" s="394"/>
      <c r="AI49" s="404"/>
      <c r="AJ49" s="566"/>
      <c r="AK49" s="567"/>
      <c r="AL49" s="567"/>
      <c r="AM49" s="568"/>
      <c r="AN49" s="681"/>
    </row>
    <row r="50" spans="1:40" s="584" customFormat="1" ht="27" customHeight="1" thickBot="1">
      <c r="A50" s="572"/>
      <c r="B50" s="574"/>
      <c r="C50" s="572"/>
      <c r="D50" s="675"/>
      <c r="E50" s="573"/>
      <c r="F50" s="573"/>
      <c r="G50" s="575"/>
      <c r="H50" s="652"/>
      <c r="I50" s="576"/>
      <c r="J50" s="577"/>
      <c r="K50" s="577"/>
      <c r="L50" s="578"/>
      <c r="M50" s="578"/>
      <c r="N50" s="577"/>
      <c r="O50" s="579"/>
      <c r="P50" s="580"/>
      <c r="Q50" s="670"/>
      <c r="R50" s="671"/>
      <c r="S50" s="671"/>
      <c r="T50" s="671"/>
      <c r="U50" s="671"/>
      <c r="V50" s="395"/>
      <c r="W50" s="411"/>
      <c r="X50" s="413"/>
      <c r="Y50" s="391"/>
      <c r="Z50" s="389"/>
      <c r="AA50" s="648"/>
      <c r="AB50" s="597"/>
      <c r="AC50" s="597"/>
      <c r="AD50" s="622"/>
      <c r="AE50" s="409"/>
      <c r="AF50" s="411"/>
      <c r="AG50" s="411"/>
      <c r="AH50" s="396"/>
      <c r="AI50" s="405"/>
      <c r="AJ50" s="581"/>
      <c r="AK50" s="582"/>
      <c r="AL50" s="582"/>
      <c r="AM50" s="583"/>
      <c r="AN50" s="682"/>
    </row>
    <row r="51" spans="1:40" s="584" customFormat="1" ht="27" customHeight="1">
      <c r="A51" s="624">
        <v>12</v>
      </c>
      <c r="B51" s="770">
        <v>45566</v>
      </c>
      <c r="C51" s="625" t="s">
        <v>247</v>
      </c>
      <c r="D51" s="672" t="s">
        <v>205</v>
      </c>
      <c r="E51" s="626" t="s">
        <v>70</v>
      </c>
      <c r="F51" s="626" t="s">
        <v>45</v>
      </c>
      <c r="G51" s="627">
        <v>24</v>
      </c>
      <c r="H51" s="768">
        <v>6.6000000000000003E-2</v>
      </c>
      <c r="I51" s="630">
        <v>45689</v>
      </c>
      <c r="J51" s="628">
        <v>1500</v>
      </c>
      <c r="K51" s="628"/>
      <c r="L51" s="599"/>
      <c r="M51" s="600">
        <f>IF(Table1351452010[[#This Row],[หัก ณ ที่จ่าย
(ค่าบริการ)]]="มี",Table1351452010[[#This Row],[ค่าบริการเฉลี่ยต่อเดือน]]*3%,0)</f>
        <v>0</v>
      </c>
      <c r="N51" s="552">
        <f>(Table1351452010[[#This Row],[ค่าบริการเฉลี่ยต่อเดือน]]-Table1351452010[[#This Row],[ต้นทุนช่องรายการ
(ถ้ามี)]]-Table1351452010[[#This Row],[มูลค่าหัก 3%]])</f>
        <v>1500</v>
      </c>
      <c r="O5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2376</v>
      </c>
      <c r="P51" s="761">
        <f>Table1351452010[[#This Row],[ระยะเวลาสัญญา
(เดือน)]]/$P$5</f>
        <v>2</v>
      </c>
      <c r="Q51" s="765">
        <f>Table1351452010[[#This Row],[Total
รายการเบิก
คอมขาย
(1)]]/2</f>
        <v>1188</v>
      </c>
      <c r="R51" s="766">
        <v>1188</v>
      </c>
      <c r="S51" s="766"/>
      <c r="T51" s="766"/>
      <c r="U51" s="764"/>
      <c r="V51" s="629">
        <v>0</v>
      </c>
      <c r="W51" s="601"/>
      <c r="X51" s="602">
        <f>IF(Table1351452010[[#This Row],[หัก ณ ที่จ่าย
(ค่าติตั้ง)]]="มี",Table1351452010[[#This Row],[ค่าเชื่อมสัญญาณ/
ค่าติดตั้ง/
ค่าขายอุปกรณ์]]*$X$4,0)</f>
        <v>0</v>
      </c>
      <c r="Y51" s="397">
        <f>Table1351452010[[#This Row],[ค่าเชื่อมสัญญาณ/
ค่าติดตั้ง/
ค่าขายอุปกรณ์]]-Table1351452010[[#This Row],[มูลค่าหัก 3%
(ค่าติดตั้ง)]]</f>
        <v>0</v>
      </c>
      <c r="Z51" s="331">
        <v>0</v>
      </c>
      <c r="AA51" s="646">
        <f>Table1351452010[[#This Row],[ค่าเชื่อมสัญญาณ/
ค่าติดตั้ง/
ค่าขายอุปกรณ์
(เรียกเก็บสุทธิ)]]-Table1351452010[[#This Row],[ต้นทุน]]</f>
        <v>0</v>
      </c>
      <c r="AB51" s="789" t="str">
        <f>IF(Table1351452010[[#This Row],[ส่วนต่างกำไร]]&lt;(Table1351452010[[#This Row],[ต้นทุน]]*5%),Table1351452010[[#This Row],[ค่าเชื่อมสัญญาณ/
ค่าติดตั้ง/
ค่าขายอุปกรณ์
(เรียกเก็บสุทธิ)]]*$AB$3,"0")</f>
        <v>0</v>
      </c>
      <c r="AC51" s="789">
        <f>IF(Table1351452010[[#This Row],[ส่วนต่างกำไร]]&gt;=(Table1351452010[[#This Row],[ต้นทุน]]*5%),Table1351452010[[#This Row],[ค่าเชื่อมสัญญาณ/
ค่าติดตั้ง/
ค่าขายอุปกรณ์
(เรียกเก็บสุทธิ)]]*$AC$3,"0")</f>
        <v>0</v>
      </c>
      <c r="AD51" s="619">
        <f>SUM(Table1351452010[[#This Row],[คอมฯ
 5%]:[คอมฯ
10%]])</f>
        <v>0</v>
      </c>
      <c r="AE51" s="631">
        <v>0</v>
      </c>
      <c r="AF51" s="601"/>
      <c r="AG51" s="623">
        <f>IF(Table1351452010[[#This Row],[หัก ณ ที่จ่าย
(ค่าเชื่อมสัญญาณ)]]="มี",Table1351452010[[#This Row],[ค่าเชื่อมสัญญาณ]]*$AG$4,0)</f>
        <v>0</v>
      </c>
      <c r="AH51" s="398">
        <f>Table1351452010[[#This Row],[ค่าเชื่อมสัญญาณ]]-Table1351452010[[#This Row],[มูลค่าหัก 3%
(ค่าเชื่อมสัญญาณ)]]</f>
        <v>0</v>
      </c>
      <c r="AI51" s="403">
        <f>Table1351452010[[#This Row],[ค่าเชื่อมสัญญาณ
(เรียกเก็บสุทธิ)]]*$AI$3</f>
        <v>0</v>
      </c>
      <c r="AJ51" s="554">
        <f>Table1351452010[[#This Row],[สั่งจ่ายปีที่1]]+Table1351452010[[#This Row],[Total
ค่าเชื่มสัญญาณ/ค่าติดตั้ง/
ค่าขายอุปกรณ์
(2)]]+Table1351452010[[#This Row],[Total 
คอมฯค่าเชื่อมสัญญาณ
(3)]]</f>
        <v>1188</v>
      </c>
      <c r="AK51" s="555"/>
      <c r="AL51" s="555"/>
      <c r="AM51" s="556"/>
      <c r="AN51" s="680" t="s">
        <v>246</v>
      </c>
    </row>
    <row r="52" spans="1:40" s="584" customFormat="1" ht="27" customHeight="1">
      <c r="A52" s="557"/>
      <c r="B52" s="560"/>
      <c r="C52" s="558"/>
      <c r="D52" s="673" t="s">
        <v>206</v>
      </c>
      <c r="E52" s="559"/>
      <c r="F52" s="559"/>
      <c r="G52" s="585"/>
      <c r="H52" s="651"/>
      <c r="I52" s="561"/>
      <c r="J52" s="559"/>
      <c r="K52" s="559"/>
      <c r="L52" s="562"/>
      <c r="M52" s="562"/>
      <c r="N52" s="563"/>
      <c r="O52" s="564"/>
      <c r="P52" s="565"/>
      <c r="Q52" s="664"/>
      <c r="R52" s="665"/>
      <c r="S52" s="665"/>
      <c r="T52" s="665"/>
      <c r="U52" s="666"/>
      <c r="V52" s="392"/>
      <c r="W52" s="410"/>
      <c r="X52" s="412"/>
      <c r="Y52" s="390"/>
      <c r="Z52" s="393"/>
      <c r="AA52" s="647" t="e">
        <f t="shared" ref="AA52" si="11">AA51/Z51</f>
        <v>#DIV/0!</v>
      </c>
      <c r="AB52" s="596"/>
      <c r="AC52" s="596"/>
      <c r="AD52" s="620"/>
      <c r="AE52" s="407"/>
      <c r="AF52" s="410"/>
      <c r="AG52" s="410"/>
      <c r="AH52" s="394"/>
      <c r="AI52" s="404"/>
      <c r="AJ52" s="566"/>
      <c r="AK52" s="567"/>
      <c r="AL52" s="567"/>
      <c r="AM52" s="568"/>
      <c r="AN52" s="681"/>
    </row>
    <row r="53" spans="1:40" s="584" customFormat="1" ht="27" customHeight="1">
      <c r="A53" s="557"/>
      <c r="B53" s="560"/>
      <c r="C53" s="557"/>
      <c r="D53" s="674"/>
      <c r="E53" s="569"/>
      <c r="F53" s="569"/>
      <c r="G53" s="585"/>
      <c r="H53" s="651"/>
      <c r="I53" s="561"/>
      <c r="J53" s="559"/>
      <c r="K53" s="559"/>
      <c r="L53" s="562"/>
      <c r="M53" s="562"/>
      <c r="N53" s="559"/>
      <c r="O53" s="570"/>
      <c r="P53" s="571"/>
      <c r="Q53" s="667"/>
      <c r="R53" s="668"/>
      <c r="S53" s="668"/>
      <c r="T53" s="668"/>
      <c r="U53" s="669"/>
      <c r="V53" s="392"/>
      <c r="W53" s="410"/>
      <c r="X53" s="412"/>
      <c r="Y53" s="390"/>
      <c r="Z53" s="393"/>
      <c r="AA53" s="393"/>
      <c r="AB53" s="596"/>
      <c r="AC53" s="596"/>
      <c r="AD53" s="621"/>
      <c r="AE53" s="408"/>
      <c r="AF53" s="410"/>
      <c r="AG53" s="410"/>
      <c r="AH53" s="394"/>
      <c r="AI53" s="404"/>
      <c r="AJ53" s="566"/>
      <c r="AK53" s="567"/>
      <c r="AL53" s="567"/>
      <c r="AM53" s="568"/>
      <c r="AN53" s="681"/>
    </row>
    <row r="54" spans="1:40" s="584" customFormat="1" ht="27" customHeight="1" thickBot="1">
      <c r="A54" s="572"/>
      <c r="B54" s="574"/>
      <c r="C54" s="572"/>
      <c r="D54" s="675"/>
      <c r="E54" s="573"/>
      <c r="F54" s="573"/>
      <c r="G54" s="575"/>
      <c r="H54" s="652"/>
      <c r="I54" s="576"/>
      <c r="J54" s="577"/>
      <c r="K54" s="577"/>
      <c r="L54" s="578"/>
      <c r="M54" s="578"/>
      <c r="N54" s="577"/>
      <c r="O54" s="579"/>
      <c r="P54" s="580"/>
      <c r="Q54" s="670"/>
      <c r="R54" s="671"/>
      <c r="S54" s="671"/>
      <c r="T54" s="671"/>
      <c r="U54" s="671"/>
      <c r="V54" s="395"/>
      <c r="W54" s="411"/>
      <c r="X54" s="413"/>
      <c r="Y54" s="391"/>
      <c r="Z54" s="389"/>
      <c r="AA54" s="648"/>
      <c r="AB54" s="597"/>
      <c r="AC54" s="597"/>
      <c r="AD54" s="622"/>
      <c r="AE54" s="409"/>
      <c r="AF54" s="411"/>
      <c r="AG54" s="411"/>
      <c r="AH54" s="396"/>
      <c r="AI54" s="405"/>
      <c r="AJ54" s="581"/>
      <c r="AK54" s="582"/>
      <c r="AL54" s="582"/>
      <c r="AM54" s="583"/>
      <c r="AN54" s="682"/>
    </row>
    <row r="55" spans="1:40" s="584" customFormat="1" ht="27" customHeight="1">
      <c r="A55" s="624">
        <v>13</v>
      </c>
      <c r="B55" s="770">
        <v>45566</v>
      </c>
      <c r="C55" s="625">
        <v>120000059654</v>
      </c>
      <c r="D55" s="672" t="s">
        <v>176</v>
      </c>
      <c r="E55" s="626" t="s">
        <v>70</v>
      </c>
      <c r="F55" s="626" t="s">
        <v>45</v>
      </c>
      <c r="G55" s="627">
        <v>12</v>
      </c>
      <c r="H55" s="768">
        <v>6.6000000000000003E-2</v>
      </c>
      <c r="I55" s="630">
        <v>45627</v>
      </c>
      <c r="J55" s="628">
        <v>1500</v>
      </c>
      <c r="K55" s="628"/>
      <c r="L55" s="599"/>
      <c r="M55" s="600">
        <f>IF(Table1351452010[[#This Row],[หัก ณ ที่จ่าย
(ค่าบริการ)]]="มี",Table1351452010[[#This Row],[ค่าบริการเฉลี่ยต่อเดือน]]*3%,0)</f>
        <v>0</v>
      </c>
      <c r="N55" s="552">
        <f>(Table1351452010[[#This Row],[ค่าบริการเฉลี่ยต่อเดือน]]-Table1351452010[[#This Row],[ต้นทุนช่องรายการ
(ถ้ามี)]]-Table1351452010[[#This Row],[มูลค่าหัก 3%]])</f>
        <v>1500</v>
      </c>
      <c r="O5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1188</v>
      </c>
      <c r="P55" s="761">
        <f>Table1351452010[[#This Row],[ระยะเวลาสัญญา
(เดือน)]]/$P$5</f>
        <v>1</v>
      </c>
      <c r="Q55" s="765">
        <f>Table1351452010[[#This Row],[Total
รายการเบิก
คอมขาย
(1)]]</f>
        <v>1188</v>
      </c>
      <c r="R55" s="766"/>
      <c r="S55" s="766"/>
      <c r="T55" s="766"/>
      <c r="U55" s="764"/>
      <c r="V55" s="629">
        <v>0</v>
      </c>
      <c r="W55" s="601"/>
      <c r="X55" s="602">
        <f>IF(Table1351452010[[#This Row],[หัก ณ ที่จ่าย
(ค่าติตั้ง)]]="มี",Table1351452010[[#This Row],[ค่าเชื่อมสัญญาณ/
ค่าติดตั้ง/
ค่าขายอุปกรณ์]]*$X$4,0)</f>
        <v>0</v>
      </c>
      <c r="Y55" s="397">
        <f>Table1351452010[[#This Row],[ค่าเชื่อมสัญญาณ/
ค่าติดตั้ง/
ค่าขายอุปกรณ์]]-Table1351452010[[#This Row],[มูลค่าหัก 3%
(ค่าติดตั้ง)]]</f>
        <v>0</v>
      </c>
      <c r="Z55" s="331">
        <v>0</v>
      </c>
      <c r="AA55" s="646">
        <f>Table1351452010[[#This Row],[ค่าเชื่อมสัญญาณ/
ค่าติดตั้ง/
ค่าขายอุปกรณ์
(เรียกเก็บสุทธิ)]]-Table1351452010[[#This Row],[ต้นทุน]]</f>
        <v>0</v>
      </c>
      <c r="AB55" s="789" t="str">
        <f>IF(Table1351452010[[#This Row],[ส่วนต่างกำไร]]&lt;(Table1351452010[[#This Row],[ต้นทุน]]*5%),Table1351452010[[#This Row],[ค่าเชื่อมสัญญาณ/
ค่าติดตั้ง/
ค่าขายอุปกรณ์
(เรียกเก็บสุทธิ)]]*$AB$3,"0")</f>
        <v>0</v>
      </c>
      <c r="AC55" s="789">
        <f>IF(Table1351452010[[#This Row],[ส่วนต่างกำไร]]&gt;=(Table1351452010[[#This Row],[ต้นทุน]]*5%),Table1351452010[[#This Row],[ค่าเชื่อมสัญญาณ/
ค่าติดตั้ง/
ค่าขายอุปกรณ์
(เรียกเก็บสุทธิ)]]*$AC$3,"0")</f>
        <v>0</v>
      </c>
      <c r="AD55" s="619">
        <f>SUM(Table1351452010[[#This Row],[คอมฯ
 5%]:[คอมฯ
10%]])</f>
        <v>0</v>
      </c>
      <c r="AE55" s="631">
        <v>0</v>
      </c>
      <c r="AF55" s="601"/>
      <c r="AG55" s="623">
        <f>IF(Table1351452010[[#This Row],[หัก ณ ที่จ่าย
(ค่าเชื่อมสัญญาณ)]]="มี",Table1351452010[[#This Row],[ค่าเชื่อมสัญญาณ]]*$AG$4,0)</f>
        <v>0</v>
      </c>
      <c r="AH55" s="398">
        <f>Table1351452010[[#This Row],[ค่าเชื่อมสัญญาณ]]-Table1351452010[[#This Row],[มูลค่าหัก 3%
(ค่าเชื่อมสัญญาณ)]]</f>
        <v>0</v>
      </c>
      <c r="AI55" s="403">
        <f>Table1351452010[[#This Row],[ค่าเชื่อมสัญญาณ
(เรียกเก็บสุทธิ)]]*$AI$3</f>
        <v>0</v>
      </c>
      <c r="AJ55" s="554">
        <f>Table1351452010[[#This Row],[สั่งจ่ายปีที่1]]+Table1351452010[[#This Row],[Total
ค่าเชื่มสัญญาณ/ค่าติดตั้ง/
ค่าขายอุปกรณ์
(2)]]+Table1351452010[[#This Row],[Total 
คอมฯค่าเชื่อมสัญญาณ
(3)]]</f>
        <v>1188</v>
      </c>
      <c r="AK55" s="555" t="s">
        <v>224</v>
      </c>
      <c r="AL55" s="555" t="s">
        <v>228</v>
      </c>
      <c r="AM55" s="556" t="s">
        <v>225</v>
      </c>
      <c r="AN55" s="680" t="s">
        <v>249</v>
      </c>
    </row>
    <row r="56" spans="1:40" s="584" customFormat="1" ht="27" customHeight="1">
      <c r="A56" s="557"/>
      <c r="B56" s="560"/>
      <c r="C56" s="558"/>
      <c r="D56" s="673" t="s">
        <v>177</v>
      </c>
      <c r="E56" s="559"/>
      <c r="F56" s="559"/>
      <c r="G56" s="585"/>
      <c r="H56" s="651"/>
      <c r="I56" s="561"/>
      <c r="J56" s="559"/>
      <c r="K56" s="559"/>
      <c r="L56" s="562"/>
      <c r="M56" s="562"/>
      <c r="N56" s="563"/>
      <c r="O56" s="564"/>
      <c r="P56" s="565"/>
      <c r="Q56" s="664"/>
      <c r="R56" s="665"/>
      <c r="S56" s="665"/>
      <c r="T56" s="665"/>
      <c r="U56" s="666"/>
      <c r="V56" s="392"/>
      <c r="W56" s="410"/>
      <c r="X56" s="412"/>
      <c r="Y56" s="390"/>
      <c r="Z56" s="393"/>
      <c r="AA56" s="647" t="e">
        <f t="shared" ref="AA56" si="12">AA55/Z55</f>
        <v>#DIV/0!</v>
      </c>
      <c r="AB56" s="596"/>
      <c r="AC56" s="596"/>
      <c r="AD56" s="620"/>
      <c r="AE56" s="407"/>
      <c r="AF56" s="410"/>
      <c r="AG56" s="410"/>
      <c r="AH56" s="394"/>
      <c r="AI56" s="404"/>
      <c r="AJ56" s="566"/>
      <c r="AK56" s="567"/>
      <c r="AL56" s="567"/>
      <c r="AM56" s="568"/>
      <c r="AN56" s="681" t="s">
        <v>250</v>
      </c>
    </row>
    <row r="57" spans="1:40" s="584" customFormat="1" ht="27" customHeight="1">
      <c r="A57" s="557"/>
      <c r="B57" s="560"/>
      <c r="C57" s="557"/>
      <c r="D57" s="674"/>
      <c r="E57" s="569"/>
      <c r="F57" s="569"/>
      <c r="G57" s="585"/>
      <c r="H57" s="651"/>
      <c r="I57" s="561"/>
      <c r="J57" s="559"/>
      <c r="K57" s="559"/>
      <c r="L57" s="562"/>
      <c r="M57" s="562"/>
      <c r="N57" s="559"/>
      <c r="O57" s="570"/>
      <c r="P57" s="571"/>
      <c r="Q57" s="667"/>
      <c r="R57" s="668"/>
      <c r="S57" s="668"/>
      <c r="T57" s="668"/>
      <c r="U57" s="669"/>
      <c r="V57" s="392"/>
      <c r="W57" s="410"/>
      <c r="X57" s="412"/>
      <c r="Y57" s="390"/>
      <c r="Z57" s="393"/>
      <c r="AA57" s="393"/>
      <c r="AB57" s="596"/>
      <c r="AC57" s="596"/>
      <c r="AD57" s="621"/>
      <c r="AE57" s="408"/>
      <c r="AF57" s="410"/>
      <c r="AG57" s="410"/>
      <c r="AH57" s="394"/>
      <c r="AI57" s="404"/>
      <c r="AJ57" s="566"/>
      <c r="AK57" s="567"/>
      <c r="AL57" s="567"/>
      <c r="AM57" s="568"/>
      <c r="AN57" s="681"/>
    </row>
    <row r="58" spans="1:40" s="584" customFormat="1" ht="27" customHeight="1" thickBot="1">
      <c r="A58" s="572"/>
      <c r="B58" s="574"/>
      <c r="C58" s="572"/>
      <c r="D58" s="675"/>
      <c r="E58" s="573"/>
      <c r="F58" s="573"/>
      <c r="G58" s="575"/>
      <c r="H58" s="652"/>
      <c r="I58" s="576"/>
      <c r="J58" s="577"/>
      <c r="K58" s="577"/>
      <c r="L58" s="578"/>
      <c r="M58" s="578"/>
      <c r="N58" s="577"/>
      <c r="O58" s="579"/>
      <c r="P58" s="580"/>
      <c r="Q58" s="670"/>
      <c r="R58" s="671"/>
      <c r="S58" s="671"/>
      <c r="T58" s="671"/>
      <c r="U58" s="671"/>
      <c r="V58" s="395"/>
      <c r="W58" s="411"/>
      <c r="X58" s="413"/>
      <c r="Y58" s="391"/>
      <c r="Z58" s="389"/>
      <c r="AA58" s="648"/>
      <c r="AB58" s="597"/>
      <c r="AC58" s="597"/>
      <c r="AD58" s="622"/>
      <c r="AE58" s="409"/>
      <c r="AF58" s="411"/>
      <c r="AG58" s="411"/>
      <c r="AH58" s="396"/>
      <c r="AI58" s="405"/>
      <c r="AJ58" s="581"/>
      <c r="AK58" s="582"/>
      <c r="AL58" s="582"/>
      <c r="AM58" s="583"/>
      <c r="AN58" s="682"/>
    </row>
    <row r="59" spans="1:40" s="584" customFormat="1" ht="27" customHeight="1">
      <c r="A59" s="624">
        <v>14</v>
      </c>
      <c r="B59" s="770">
        <v>45597</v>
      </c>
      <c r="C59" s="625">
        <v>120000056187</v>
      </c>
      <c r="D59" s="672" t="s">
        <v>254</v>
      </c>
      <c r="E59" s="626" t="s">
        <v>130</v>
      </c>
      <c r="F59" s="626" t="s">
        <v>45</v>
      </c>
      <c r="G59" s="627">
        <v>24</v>
      </c>
      <c r="H59" s="768">
        <v>0.04</v>
      </c>
      <c r="I59" s="630">
        <v>45627</v>
      </c>
      <c r="J59" s="628">
        <v>0</v>
      </c>
      <c r="K59" s="628"/>
      <c r="L59" s="599"/>
      <c r="M59" s="600">
        <f>IF(Table1351452010[[#This Row],[หัก ณ ที่จ่าย
(ค่าบริการ)]]="มี",Table1351452010[[#This Row],[ค่าบริการเฉลี่ยต่อเดือน]]*3%,0)</f>
        <v>0</v>
      </c>
      <c r="N59" s="552">
        <f>(Table1351452010[[#This Row],[ค่าบริการเฉลี่ยต่อเดือน]]-Table1351452010[[#This Row],[ต้นทุนช่องรายการ
(ถ้ามี)]]-Table1351452010[[#This Row],[มูลค่าหัก 3%]])</f>
        <v>0</v>
      </c>
      <c r="O5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61">
        <f>Table1351452010[[#This Row],[ระยะเวลาสัญญา
(เดือน)]]/$P$5</f>
        <v>2</v>
      </c>
      <c r="Q59" s="765"/>
      <c r="R59" s="766"/>
      <c r="S59" s="766"/>
      <c r="T59" s="766"/>
      <c r="U59" s="764"/>
      <c r="V59" s="629">
        <v>5600</v>
      </c>
      <c r="W59" s="601" t="s">
        <v>209</v>
      </c>
      <c r="X59" s="602">
        <f>IF(Table1351452010[[#This Row],[หัก ณ ที่จ่าย
(ค่าติตั้ง)]]="มี",Table1351452010[[#This Row],[ค่าเชื่อมสัญญาณ/
ค่าติดตั้ง/
ค่าขายอุปกรณ์]]*$X$4,0)</f>
        <v>0</v>
      </c>
      <c r="Y59" s="397">
        <f>Table1351452010[[#This Row],[ค่าเชื่อมสัญญาณ/
ค่าติดตั้ง/
ค่าขายอุปกรณ์]]-Table1351452010[[#This Row],[มูลค่าหัก 3%
(ค่าติดตั้ง)]]</f>
        <v>5600</v>
      </c>
      <c r="Z59" s="331">
        <v>1358.95</v>
      </c>
      <c r="AA59" s="646">
        <f>Table1351452010[[#This Row],[ค่าเชื่อมสัญญาณ/
ค่าติดตั้ง/
ค่าขายอุปกรณ์
(เรียกเก็บสุทธิ)]]-Table1351452010[[#This Row],[ต้นทุน]]</f>
        <v>4241.05</v>
      </c>
      <c r="AB59" s="789" t="str">
        <f>IF(Table1351452010[[#This Row],[ส่วนต่างกำไร]]&lt;(Table1351452010[[#This Row],[ต้นทุน]]*5%),Table1351452010[[#This Row],[ค่าเชื่อมสัญญาณ/
ค่าติดตั้ง/
ค่าขายอุปกรณ์
(เรียกเก็บสุทธิ)]]*$AB$3,"0")</f>
        <v>0</v>
      </c>
      <c r="AC59" s="789">
        <f>IF(Table1351452010[[#This Row],[ส่วนต่างกำไร]]&gt;=(Table1351452010[[#This Row],[ต้นทุน]]*5%),Table1351452010[[#This Row],[ค่าเชื่อมสัญญาณ/
ค่าติดตั้ง/
ค่าขายอุปกรณ์
(เรียกเก็บสุทธิ)]]*$AC$3,"0")</f>
        <v>560</v>
      </c>
      <c r="AD59" s="619">
        <f>SUM(Table1351452010[[#This Row],[คอมฯ
 5%]:[คอมฯ
10%]])</f>
        <v>560</v>
      </c>
      <c r="AE59" s="631">
        <v>0</v>
      </c>
      <c r="AF59" s="601"/>
      <c r="AG59" s="623">
        <f>IF(Table1351452010[[#This Row],[หัก ณ ที่จ่าย
(ค่าเชื่อมสัญญาณ)]]="มี",Table1351452010[[#This Row],[ค่าเชื่อมสัญญาณ]]*$AG$4,0)</f>
        <v>0</v>
      </c>
      <c r="AH59" s="398">
        <f>Table1351452010[[#This Row],[ค่าเชื่อมสัญญาณ]]-Table1351452010[[#This Row],[มูลค่าหัก 3%
(ค่าเชื่อมสัญญาณ)]]</f>
        <v>0</v>
      </c>
      <c r="AI59" s="403">
        <f>Table1351452010[[#This Row],[ค่าเชื่อมสัญญาณ
(เรียกเก็บสุทธิ)]]*$AI$3</f>
        <v>0</v>
      </c>
      <c r="AJ59" s="554">
        <f>Table1351452010[[#This Row],[สั่งจ่ายปีที่1]]+Table1351452010[[#This Row],[Total
ค่าเชื่มสัญญาณ/ค่าติดตั้ง/
ค่าขายอุปกรณ์
(2)]]+Table1351452010[[#This Row],[Total 
คอมฯค่าเชื่อมสัญญาณ
(3)]]</f>
        <v>560</v>
      </c>
      <c r="AK59" s="555" t="s">
        <v>267</v>
      </c>
      <c r="AL59" s="555" t="s">
        <v>257</v>
      </c>
      <c r="AM59" s="556" t="s">
        <v>258</v>
      </c>
      <c r="AN59" s="680" t="s">
        <v>249</v>
      </c>
    </row>
    <row r="60" spans="1:40" s="584" customFormat="1" ht="27" customHeight="1">
      <c r="A60" s="557"/>
      <c r="B60" s="560"/>
      <c r="C60" s="558"/>
      <c r="D60" s="673" t="s">
        <v>255</v>
      </c>
      <c r="E60" s="559"/>
      <c r="F60" s="559"/>
      <c r="G60" s="585"/>
      <c r="H60" s="678"/>
      <c r="I60" s="561"/>
      <c r="J60" s="559"/>
      <c r="K60" s="559"/>
      <c r="L60" s="562"/>
      <c r="M60" s="562"/>
      <c r="N60" s="563"/>
      <c r="O60" s="564"/>
      <c r="P60" s="565"/>
      <c r="Q60" s="664"/>
      <c r="R60" s="665"/>
      <c r="S60" s="665"/>
      <c r="T60" s="665"/>
      <c r="U60" s="666"/>
      <c r="V60" s="392"/>
      <c r="W60" s="410"/>
      <c r="X60" s="412"/>
      <c r="Y60" s="390"/>
      <c r="Z60" s="393"/>
      <c r="AA60" s="647">
        <f t="shared" ref="AA60" si="13">AA59/Z59</f>
        <v>3.1208285808896576</v>
      </c>
      <c r="AB60" s="596"/>
      <c r="AC60" s="596"/>
      <c r="AD60" s="620"/>
      <c r="AE60" s="407"/>
      <c r="AF60" s="410"/>
      <c r="AG60" s="410"/>
      <c r="AH60" s="394"/>
      <c r="AI60" s="404"/>
      <c r="AJ60" s="566"/>
      <c r="AK60" s="567"/>
      <c r="AL60" s="567"/>
      <c r="AM60" s="568"/>
      <c r="AN60" s="681" t="s">
        <v>256</v>
      </c>
    </row>
    <row r="61" spans="1:40" s="584" customFormat="1" ht="27" customHeight="1">
      <c r="A61" s="557"/>
      <c r="B61" s="560"/>
      <c r="C61" s="557"/>
      <c r="D61" s="674"/>
      <c r="E61" s="569"/>
      <c r="F61" s="569"/>
      <c r="G61" s="585"/>
      <c r="H61" s="651"/>
      <c r="I61" s="561"/>
      <c r="J61" s="559"/>
      <c r="K61" s="559"/>
      <c r="L61" s="562"/>
      <c r="M61" s="562"/>
      <c r="N61" s="559"/>
      <c r="O61" s="570"/>
      <c r="P61" s="571"/>
      <c r="Q61" s="667"/>
      <c r="R61" s="668"/>
      <c r="S61" s="668"/>
      <c r="T61" s="668"/>
      <c r="U61" s="669"/>
      <c r="V61" s="392"/>
      <c r="W61" s="410"/>
      <c r="X61" s="412"/>
      <c r="Y61" s="390"/>
      <c r="Z61" s="393"/>
      <c r="AA61" s="393"/>
      <c r="AB61" s="596"/>
      <c r="AC61" s="596"/>
      <c r="AD61" s="621"/>
      <c r="AE61" s="408"/>
      <c r="AF61" s="410"/>
      <c r="AG61" s="410"/>
      <c r="AH61" s="394"/>
      <c r="AI61" s="404"/>
      <c r="AJ61" s="566"/>
      <c r="AK61" s="567"/>
      <c r="AL61" s="567"/>
      <c r="AM61" s="568"/>
      <c r="AN61" s="681"/>
    </row>
    <row r="62" spans="1:40" s="584" customFormat="1" ht="27" customHeight="1" thickBot="1">
      <c r="A62" s="572"/>
      <c r="B62" s="574"/>
      <c r="C62" s="572"/>
      <c r="D62" s="677"/>
      <c r="E62" s="573"/>
      <c r="F62" s="573"/>
      <c r="G62" s="575"/>
      <c r="H62" s="652"/>
      <c r="I62" s="576"/>
      <c r="J62" s="577"/>
      <c r="K62" s="577"/>
      <c r="L62" s="578"/>
      <c r="M62" s="578"/>
      <c r="N62" s="577"/>
      <c r="O62" s="579"/>
      <c r="P62" s="580"/>
      <c r="Q62" s="670"/>
      <c r="R62" s="671"/>
      <c r="S62" s="671"/>
      <c r="T62" s="671"/>
      <c r="U62" s="671"/>
      <c r="V62" s="395"/>
      <c r="W62" s="411"/>
      <c r="X62" s="413"/>
      <c r="Y62" s="391"/>
      <c r="Z62" s="389"/>
      <c r="AA62" s="648"/>
      <c r="AB62" s="597"/>
      <c r="AC62" s="597"/>
      <c r="AD62" s="622"/>
      <c r="AE62" s="409"/>
      <c r="AF62" s="411"/>
      <c r="AG62" s="411"/>
      <c r="AH62" s="396"/>
      <c r="AI62" s="405"/>
      <c r="AJ62" s="581"/>
      <c r="AK62" s="582"/>
      <c r="AL62" s="582"/>
      <c r="AM62" s="583"/>
      <c r="AN62" s="682"/>
    </row>
    <row r="63" spans="1:40" s="584" customFormat="1" ht="27" customHeight="1">
      <c r="A63" s="624">
        <v>15</v>
      </c>
      <c r="B63" s="770">
        <v>45597</v>
      </c>
      <c r="C63" s="625">
        <v>120000051462</v>
      </c>
      <c r="D63" s="672" t="s">
        <v>260</v>
      </c>
      <c r="E63" s="626" t="s">
        <v>67</v>
      </c>
      <c r="F63" s="626" t="s">
        <v>45</v>
      </c>
      <c r="G63" s="627">
        <v>12</v>
      </c>
      <c r="H63" s="768">
        <v>0.04</v>
      </c>
      <c r="I63" s="630">
        <v>45597</v>
      </c>
      <c r="J63" s="628">
        <v>0</v>
      </c>
      <c r="K63" s="628"/>
      <c r="L63" s="599"/>
      <c r="M63" s="600">
        <f>IF(Table1351452010[[#This Row],[หัก ณ ที่จ่าย
(ค่าบริการ)]]="มี",Table1351452010[[#This Row],[ค่าบริการเฉลี่ยต่อเดือน]]*3%,0)</f>
        <v>0</v>
      </c>
      <c r="N63" s="552">
        <f>(Table1351452010[[#This Row],[ค่าบริการเฉลี่ยต่อเดือน]]-Table1351452010[[#This Row],[ต้นทุนช่องรายการ
(ถ้ามี)]]-Table1351452010[[#This Row],[มูลค่าหัก 3%]])</f>
        <v>0</v>
      </c>
      <c r="O6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61">
        <f>Table1351452010[[#This Row],[ระยะเวลาสัญญา
(เดือน)]]/$P$5</f>
        <v>1</v>
      </c>
      <c r="Q63" s="765"/>
      <c r="R63" s="766"/>
      <c r="S63" s="766"/>
      <c r="T63" s="766"/>
      <c r="U63" s="764"/>
      <c r="V63" s="629">
        <v>1000</v>
      </c>
      <c r="W63" s="601"/>
      <c r="X63" s="602">
        <f>IF(Table1351452010[[#This Row],[หัก ณ ที่จ่าย
(ค่าติตั้ง)]]="มี",Table1351452010[[#This Row],[ค่าเชื่อมสัญญาณ/
ค่าติดตั้ง/
ค่าขายอุปกรณ์]]*$X$4,0)</f>
        <v>0</v>
      </c>
      <c r="Y63" s="397">
        <f>Table1351452010[[#This Row],[ค่าเชื่อมสัญญาณ/
ค่าติดตั้ง/
ค่าขายอุปกรณ์]]-Table1351452010[[#This Row],[มูลค่าหัก 3%
(ค่าติดตั้ง)]]</f>
        <v>1000</v>
      </c>
      <c r="Z63" s="331">
        <v>556.35</v>
      </c>
      <c r="AA63" s="646">
        <f>Table1351452010[[#This Row],[ค่าเชื่อมสัญญาณ/
ค่าติดตั้ง/
ค่าขายอุปกรณ์
(เรียกเก็บสุทธิ)]]-Table1351452010[[#This Row],[ต้นทุน]]</f>
        <v>443.65</v>
      </c>
      <c r="AB63" s="789" t="str">
        <f>IF(Table1351452010[[#This Row],[ส่วนต่างกำไร]]&lt;(Table1351452010[[#This Row],[ต้นทุน]]*5%),Table1351452010[[#This Row],[ค่าเชื่อมสัญญาณ/
ค่าติดตั้ง/
ค่าขายอุปกรณ์
(เรียกเก็บสุทธิ)]]*$AB$3,"0")</f>
        <v>0</v>
      </c>
      <c r="AC63" s="789">
        <f>IF(Table1351452010[[#This Row],[ส่วนต่างกำไร]]&gt;=(Table1351452010[[#This Row],[ต้นทุน]]*5%),Table1351452010[[#This Row],[ค่าเชื่อมสัญญาณ/
ค่าติดตั้ง/
ค่าขายอุปกรณ์
(เรียกเก็บสุทธิ)]]*$AC$3,"0")</f>
        <v>100</v>
      </c>
      <c r="AD63" s="619">
        <f>SUM(Table1351452010[[#This Row],[คอมฯ
 5%]:[คอมฯ
10%]])</f>
        <v>100</v>
      </c>
      <c r="AE63" s="631">
        <v>0</v>
      </c>
      <c r="AF63" s="601"/>
      <c r="AG63" s="623">
        <f>IF(Table1351452010[[#This Row],[หัก ณ ที่จ่าย
(ค่าเชื่อมสัญญาณ)]]="มี",Table1351452010[[#This Row],[ค่าเชื่อมสัญญาณ]]*$AG$4,0)</f>
        <v>0</v>
      </c>
      <c r="AH63" s="398">
        <f>Table1351452010[[#This Row],[ค่าเชื่อมสัญญาณ]]-Table1351452010[[#This Row],[มูลค่าหัก 3%
(ค่าเชื่อมสัญญาณ)]]</f>
        <v>0</v>
      </c>
      <c r="AI63" s="403">
        <f>Table1351452010[[#This Row],[ค่าเชื่อมสัญญาณ
(เรียกเก็บสุทธิ)]]*$AI$3</f>
        <v>0</v>
      </c>
      <c r="AJ63" s="554">
        <f>Table1351452010[[#This Row],[สั่งจ่ายปีที่1]]+Table1351452010[[#This Row],[Total
ค่าเชื่มสัญญาณ/ค่าติดตั้ง/
ค่าขายอุปกรณ์
(2)]]+Table1351452010[[#This Row],[Total 
คอมฯค่าเชื่อมสัญญาณ
(3)]]</f>
        <v>100</v>
      </c>
      <c r="AK63" s="555" t="s">
        <v>269</v>
      </c>
      <c r="AL63" s="555" t="s">
        <v>262</v>
      </c>
      <c r="AM63" s="556" t="s">
        <v>129</v>
      </c>
      <c r="AN63" s="680" t="s">
        <v>249</v>
      </c>
    </row>
    <row r="64" spans="1:40" s="584" customFormat="1" ht="27" customHeight="1">
      <c r="A64" s="557"/>
      <c r="B64" s="560"/>
      <c r="C64" s="558"/>
      <c r="D64" s="673" t="s">
        <v>261</v>
      </c>
      <c r="E64" s="559"/>
      <c r="F64" s="559"/>
      <c r="G64" s="585"/>
      <c r="H64" s="678"/>
      <c r="I64" s="561"/>
      <c r="J64" s="559"/>
      <c r="K64" s="559"/>
      <c r="L64" s="562"/>
      <c r="M64" s="562"/>
      <c r="N64" s="563"/>
      <c r="O64" s="564"/>
      <c r="P64" s="565"/>
      <c r="Q64" s="664"/>
      <c r="R64" s="665"/>
      <c r="S64" s="665"/>
      <c r="T64" s="665"/>
      <c r="U64" s="666"/>
      <c r="V64" s="392"/>
      <c r="W64" s="410"/>
      <c r="X64" s="412"/>
      <c r="Y64" s="390"/>
      <c r="Z64" s="393"/>
      <c r="AA64" s="647">
        <f t="shared" ref="AA64" si="14">AA63/Z63</f>
        <v>0.79742967556394351</v>
      </c>
      <c r="AB64" s="596"/>
      <c r="AC64" s="596"/>
      <c r="AD64" s="620"/>
      <c r="AE64" s="407"/>
      <c r="AF64" s="410"/>
      <c r="AG64" s="410"/>
      <c r="AH64" s="394"/>
      <c r="AI64" s="404"/>
      <c r="AJ64" s="566"/>
      <c r="AK64" s="567"/>
      <c r="AL64" s="567"/>
      <c r="AM64" s="568"/>
      <c r="AN64" s="681" t="s">
        <v>270</v>
      </c>
    </row>
    <row r="65" spans="1:40" s="584" customFormat="1" ht="27" customHeight="1">
      <c r="A65" s="557"/>
      <c r="B65" s="560"/>
      <c r="C65" s="557"/>
      <c r="D65" s="674"/>
      <c r="E65" s="569"/>
      <c r="F65" s="569"/>
      <c r="G65" s="585"/>
      <c r="H65" s="651"/>
      <c r="I65" s="561"/>
      <c r="J65" s="559"/>
      <c r="K65" s="559"/>
      <c r="L65" s="562"/>
      <c r="M65" s="562"/>
      <c r="N65" s="559"/>
      <c r="O65" s="570"/>
      <c r="P65" s="571"/>
      <c r="Q65" s="667"/>
      <c r="R65" s="668"/>
      <c r="S65" s="668"/>
      <c r="T65" s="668"/>
      <c r="U65" s="669"/>
      <c r="V65" s="392"/>
      <c r="W65" s="410"/>
      <c r="X65" s="412"/>
      <c r="Y65" s="390"/>
      <c r="Z65" s="393"/>
      <c r="AA65" s="393"/>
      <c r="AB65" s="596"/>
      <c r="AC65" s="596"/>
      <c r="AD65" s="621"/>
      <c r="AE65" s="408"/>
      <c r="AF65" s="410"/>
      <c r="AG65" s="410"/>
      <c r="AH65" s="394"/>
      <c r="AI65" s="404"/>
      <c r="AJ65" s="566"/>
      <c r="AK65" s="567"/>
      <c r="AL65" s="567"/>
      <c r="AM65" s="568"/>
      <c r="AN65" s="681"/>
    </row>
    <row r="66" spans="1:40" s="584" customFormat="1" ht="27" customHeight="1" thickBot="1">
      <c r="A66" s="572"/>
      <c r="B66" s="574"/>
      <c r="C66" s="572"/>
      <c r="D66" s="675"/>
      <c r="E66" s="573"/>
      <c r="F66" s="573"/>
      <c r="G66" s="575"/>
      <c r="H66" s="652"/>
      <c r="I66" s="576"/>
      <c r="J66" s="577"/>
      <c r="K66" s="577"/>
      <c r="L66" s="578"/>
      <c r="M66" s="578"/>
      <c r="N66" s="577"/>
      <c r="O66" s="579"/>
      <c r="P66" s="580"/>
      <c r="Q66" s="670"/>
      <c r="R66" s="671"/>
      <c r="S66" s="671"/>
      <c r="T66" s="671"/>
      <c r="U66" s="671"/>
      <c r="V66" s="395"/>
      <c r="W66" s="411"/>
      <c r="X66" s="413"/>
      <c r="Y66" s="391"/>
      <c r="Z66" s="389"/>
      <c r="AA66" s="648"/>
      <c r="AB66" s="597"/>
      <c r="AC66" s="597"/>
      <c r="AD66" s="622"/>
      <c r="AE66" s="409"/>
      <c r="AF66" s="411"/>
      <c r="AG66" s="411"/>
      <c r="AH66" s="396"/>
      <c r="AI66" s="405"/>
      <c r="AJ66" s="581"/>
      <c r="AK66" s="582"/>
      <c r="AL66" s="582"/>
      <c r="AM66" s="583"/>
      <c r="AN66" s="682"/>
    </row>
    <row r="67" spans="1:40" s="584" customFormat="1" ht="27" customHeight="1">
      <c r="A67" s="624">
        <v>16</v>
      </c>
      <c r="B67" s="770">
        <v>45597</v>
      </c>
      <c r="C67" s="625">
        <v>120000051462</v>
      </c>
      <c r="D67" s="672" t="s">
        <v>265</v>
      </c>
      <c r="E67" s="626" t="s">
        <v>67</v>
      </c>
      <c r="F67" s="626" t="s">
        <v>45</v>
      </c>
      <c r="G67" s="627">
        <v>12</v>
      </c>
      <c r="H67" s="768">
        <v>0.04</v>
      </c>
      <c r="I67" s="630">
        <v>45597</v>
      </c>
      <c r="J67" s="628">
        <v>0</v>
      </c>
      <c r="K67" s="628"/>
      <c r="L67" s="599"/>
      <c r="M67" s="600">
        <f>IF(Table1351452010[[#This Row],[หัก ณ ที่จ่าย
(ค่าบริการ)]]="มี",Table1351452010[[#This Row],[ค่าบริการเฉลี่ยต่อเดือน]]*3%,0)</f>
        <v>0</v>
      </c>
      <c r="N67" s="552">
        <f>(Table1351452010[[#This Row],[ค่าบริการเฉลี่ยต่อเดือน]]-Table1351452010[[#This Row],[ต้นทุนช่องรายการ
(ถ้ามี)]]-Table1351452010[[#This Row],[มูลค่าหัก 3%]])</f>
        <v>0</v>
      </c>
      <c r="O6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7" s="761">
        <f>Table1351452010[[#This Row],[ระยะเวลาสัญญา
(เดือน)]]/$P$5</f>
        <v>1</v>
      </c>
      <c r="Q67" s="765"/>
      <c r="R67" s="766"/>
      <c r="S67" s="766"/>
      <c r="T67" s="766"/>
      <c r="U67" s="764"/>
      <c r="V67" s="629">
        <v>1000</v>
      </c>
      <c r="W67" s="601"/>
      <c r="X67" s="602">
        <f>IF(Table1351452010[[#This Row],[หัก ณ ที่จ่าย
(ค่าติตั้ง)]]="มี",Table1351452010[[#This Row],[ค่าเชื่อมสัญญาณ/
ค่าติดตั้ง/
ค่าขายอุปกรณ์]]*$X$4,0)</f>
        <v>0</v>
      </c>
      <c r="Y67" s="397">
        <f>Table1351452010[[#This Row],[ค่าเชื่อมสัญญาณ/
ค่าติดตั้ง/
ค่าขายอุปกรณ์]]-Table1351452010[[#This Row],[มูลค่าหัก 3%
(ค่าติดตั้ง)]]</f>
        <v>1000</v>
      </c>
      <c r="Z67" s="331">
        <v>2552.29</v>
      </c>
      <c r="AA67" s="646">
        <f>Table1351452010[[#This Row],[ค่าเชื่อมสัญญาณ/
ค่าติดตั้ง/
ค่าขายอุปกรณ์
(เรียกเก็บสุทธิ)]]-Table1351452010[[#This Row],[ต้นทุน]]</f>
        <v>-1552.29</v>
      </c>
      <c r="AB67" s="789">
        <f>IF(Table1351452010[[#This Row],[ส่วนต่างกำไร]]&lt;(Table1351452010[[#This Row],[ต้นทุน]]*5%),Table1351452010[[#This Row],[ค่าเชื่อมสัญญาณ/
ค่าติดตั้ง/
ค่าขายอุปกรณ์
(เรียกเก็บสุทธิ)]]*$AB$3,"0")</f>
        <v>50</v>
      </c>
      <c r="AC67" s="789" t="str">
        <f>IF(Table1351452010[[#This Row],[ส่วนต่างกำไร]]&gt;=(Table1351452010[[#This Row],[ต้นทุน]]*5%),Table1351452010[[#This Row],[ค่าเชื่อมสัญญาณ/
ค่าติดตั้ง/
ค่าขายอุปกรณ์
(เรียกเก็บสุทธิ)]]*$AC$3,"0")</f>
        <v>0</v>
      </c>
      <c r="AD67" s="619">
        <f>SUM(Table1351452010[[#This Row],[คอมฯ
 5%]:[คอมฯ
10%]])</f>
        <v>50</v>
      </c>
      <c r="AE67" s="631">
        <v>0</v>
      </c>
      <c r="AF67" s="601"/>
      <c r="AG67" s="623">
        <f>IF(Table1351452010[[#This Row],[หัก ณ ที่จ่าย
(ค่าเชื่อมสัญญาณ)]]="มี",Table1351452010[[#This Row],[ค่าเชื่อมสัญญาณ]]*$AG$4,0)</f>
        <v>0</v>
      </c>
      <c r="AH67" s="398">
        <f>Table1351452010[[#This Row],[ค่าเชื่อมสัญญาณ]]-Table1351452010[[#This Row],[มูลค่าหัก 3%
(ค่าเชื่อมสัญญาณ)]]</f>
        <v>0</v>
      </c>
      <c r="AI67" s="403">
        <f>Table1351452010[[#This Row],[ค่าเชื่อมสัญญาณ
(เรียกเก็บสุทธิ)]]*$AI$3</f>
        <v>0</v>
      </c>
      <c r="AJ67" s="554">
        <f>Table1351452010[[#This Row],[สั่งจ่ายปีที่1]]+Table1351452010[[#This Row],[Total
ค่าเชื่มสัญญาณ/ค่าติดตั้ง/
ค่าขายอุปกรณ์
(2)]]+Table1351452010[[#This Row],[Total 
คอมฯค่าเชื่อมสัญญาณ
(3)]]</f>
        <v>50</v>
      </c>
      <c r="AK67" s="555" t="s">
        <v>268</v>
      </c>
      <c r="AL67" s="555" t="s">
        <v>263</v>
      </c>
      <c r="AM67" s="556" t="s">
        <v>264</v>
      </c>
      <c r="AN67" s="680" t="s">
        <v>249</v>
      </c>
    </row>
    <row r="68" spans="1:40" s="584" customFormat="1" ht="27" customHeight="1">
      <c r="A68" s="557"/>
      <c r="B68" s="560"/>
      <c r="C68" s="558"/>
      <c r="D68" s="673" t="s">
        <v>266</v>
      </c>
      <c r="E68" s="559"/>
      <c r="F68" s="559"/>
      <c r="G68" s="585"/>
      <c r="H68" s="678"/>
      <c r="I68" s="561"/>
      <c r="J68" s="559"/>
      <c r="K68" s="559"/>
      <c r="L68" s="562"/>
      <c r="M68" s="562"/>
      <c r="N68" s="563"/>
      <c r="O68" s="564"/>
      <c r="P68" s="565"/>
      <c r="Q68" s="664"/>
      <c r="R68" s="665"/>
      <c r="S68" s="665"/>
      <c r="T68" s="665"/>
      <c r="U68" s="666"/>
      <c r="V68" s="392"/>
      <c r="W68" s="410"/>
      <c r="X68" s="412"/>
      <c r="Y68" s="390"/>
      <c r="Z68" s="393"/>
      <c r="AA68" s="647">
        <f t="shared" ref="AA68" si="15">AA67/Z67</f>
        <v>-0.60819499351562711</v>
      </c>
      <c r="AB68" s="596"/>
      <c r="AC68" s="596"/>
      <c r="AD68" s="620"/>
      <c r="AE68" s="407"/>
      <c r="AF68" s="410"/>
      <c r="AG68" s="410"/>
      <c r="AH68" s="394"/>
      <c r="AI68" s="404"/>
      <c r="AJ68" s="566"/>
      <c r="AK68" s="567"/>
      <c r="AL68" s="567"/>
      <c r="AM68" s="568"/>
      <c r="AN68" s="681" t="s">
        <v>271</v>
      </c>
    </row>
    <row r="69" spans="1:40" s="584" customFormat="1" ht="27" customHeight="1">
      <c r="A69" s="557"/>
      <c r="B69" s="560"/>
      <c r="C69" s="557"/>
      <c r="D69" s="674"/>
      <c r="E69" s="569"/>
      <c r="F69" s="569"/>
      <c r="G69" s="585"/>
      <c r="H69" s="651"/>
      <c r="I69" s="561"/>
      <c r="J69" s="559"/>
      <c r="K69" s="559"/>
      <c r="L69" s="562"/>
      <c r="M69" s="562"/>
      <c r="N69" s="559"/>
      <c r="O69" s="570"/>
      <c r="P69" s="571"/>
      <c r="Q69" s="667"/>
      <c r="R69" s="668"/>
      <c r="S69" s="668"/>
      <c r="T69" s="668"/>
      <c r="U69" s="669"/>
      <c r="V69" s="392"/>
      <c r="W69" s="410"/>
      <c r="X69" s="412"/>
      <c r="Y69" s="390"/>
      <c r="Z69" s="393"/>
      <c r="AA69" s="393"/>
      <c r="AB69" s="596"/>
      <c r="AC69" s="596"/>
      <c r="AD69" s="621"/>
      <c r="AE69" s="408"/>
      <c r="AF69" s="410"/>
      <c r="AG69" s="410"/>
      <c r="AH69" s="394"/>
      <c r="AI69" s="404"/>
      <c r="AJ69" s="566"/>
      <c r="AK69" s="567"/>
      <c r="AL69" s="567"/>
      <c r="AM69" s="568"/>
      <c r="AN69" s="681"/>
    </row>
    <row r="70" spans="1:40" s="584" customFormat="1" ht="27" customHeight="1" thickBot="1">
      <c r="A70" s="572"/>
      <c r="B70" s="574"/>
      <c r="C70" s="572"/>
      <c r="D70" s="675"/>
      <c r="E70" s="573"/>
      <c r="F70" s="573"/>
      <c r="G70" s="575"/>
      <c r="H70" s="652"/>
      <c r="I70" s="576"/>
      <c r="J70" s="577"/>
      <c r="K70" s="577"/>
      <c r="L70" s="578"/>
      <c r="M70" s="578"/>
      <c r="N70" s="577"/>
      <c r="O70" s="579"/>
      <c r="P70" s="580"/>
      <c r="Q70" s="670"/>
      <c r="R70" s="671"/>
      <c r="S70" s="671"/>
      <c r="T70" s="671"/>
      <c r="U70" s="671"/>
      <c r="V70" s="395"/>
      <c r="W70" s="411"/>
      <c r="X70" s="413"/>
      <c r="Y70" s="391"/>
      <c r="Z70" s="389"/>
      <c r="AA70" s="648"/>
      <c r="AB70" s="597"/>
      <c r="AC70" s="597"/>
      <c r="AD70" s="622"/>
      <c r="AE70" s="409"/>
      <c r="AF70" s="411"/>
      <c r="AG70" s="411"/>
      <c r="AH70" s="396"/>
      <c r="AI70" s="405"/>
      <c r="AJ70" s="581"/>
      <c r="AK70" s="582"/>
      <c r="AL70" s="582"/>
      <c r="AM70" s="583"/>
      <c r="AN70" s="682"/>
    </row>
    <row r="71" spans="1:40" s="584" customFormat="1" ht="27" customHeight="1">
      <c r="A71" s="624">
        <v>17</v>
      </c>
      <c r="B71" s="770">
        <v>45597</v>
      </c>
      <c r="C71" s="625" t="s">
        <v>247</v>
      </c>
      <c r="D71" s="672" t="s">
        <v>273</v>
      </c>
      <c r="E71" s="626" t="s">
        <v>74</v>
      </c>
      <c r="F71" s="626" t="s">
        <v>45</v>
      </c>
      <c r="G71" s="627">
        <v>12</v>
      </c>
      <c r="H71" s="768">
        <v>0.04</v>
      </c>
      <c r="I71" s="630" t="s">
        <v>247</v>
      </c>
      <c r="J71" s="628">
        <v>25000</v>
      </c>
      <c r="K71" s="628"/>
      <c r="L71" s="599"/>
      <c r="M71" s="600">
        <f>IF(Table1351452010[[#This Row],[หัก ณ ที่จ่าย
(ค่าบริการ)]]="มี",Table1351452010[[#This Row],[ค่าบริการเฉลี่ยต่อเดือน]]*3%,0)</f>
        <v>0</v>
      </c>
      <c r="N71" s="552">
        <f>(Table1351452010[[#This Row],[ค่าบริการเฉลี่ยต่อเดือน]]-Table1351452010[[#This Row],[ต้นทุนช่องรายการ
(ถ้ามี)]]-Table1351452010[[#This Row],[มูลค่าหัก 3%]])</f>
        <v>25000</v>
      </c>
      <c r="O7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12000</v>
      </c>
      <c r="P71" s="761">
        <f>Table1351452010[[#This Row],[ระยะเวลาสัญญา
(เดือน)]]/$P$5</f>
        <v>1</v>
      </c>
      <c r="Q71" s="765">
        <f>Table1351452010[[#This Row],[Total
รายการเบิก
คอมขาย
(1)]]</f>
        <v>12000</v>
      </c>
      <c r="R71" s="766"/>
      <c r="S71" s="766"/>
      <c r="T71" s="766"/>
      <c r="U71" s="764"/>
      <c r="V71" s="629">
        <v>0</v>
      </c>
      <c r="W71" s="601"/>
      <c r="X71" s="602">
        <f>IF(Table1351452010[[#This Row],[หัก ณ ที่จ่าย
(ค่าติตั้ง)]]="มี",Table1351452010[[#This Row],[ค่าเชื่อมสัญญาณ/
ค่าติดตั้ง/
ค่าขายอุปกรณ์]]*$X$4,0)</f>
        <v>0</v>
      </c>
      <c r="Y71" s="397">
        <f>Table1351452010[[#This Row],[ค่าเชื่อมสัญญาณ/
ค่าติดตั้ง/
ค่าขายอุปกรณ์]]-Table1351452010[[#This Row],[มูลค่าหัก 3%
(ค่าติดตั้ง)]]</f>
        <v>0</v>
      </c>
      <c r="Z71" s="331">
        <v>0</v>
      </c>
      <c r="AA71" s="646">
        <f>Table1351452010[[#This Row],[ค่าเชื่อมสัญญาณ/
ค่าติดตั้ง/
ค่าขายอุปกรณ์
(เรียกเก็บสุทธิ)]]-Table1351452010[[#This Row],[ต้นทุน]]</f>
        <v>0</v>
      </c>
      <c r="AB71" s="789" t="str">
        <f>IF(Table1351452010[[#This Row],[ส่วนต่างกำไร]]&lt;(Table1351452010[[#This Row],[ต้นทุน]]*5%),Table1351452010[[#This Row],[ค่าเชื่อมสัญญาณ/
ค่าติดตั้ง/
ค่าขายอุปกรณ์
(เรียกเก็บสุทธิ)]]*$AB$3,"0")</f>
        <v>0</v>
      </c>
      <c r="AC71" s="789">
        <f>IF(Table1351452010[[#This Row],[ส่วนต่างกำไร]]&gt;=(Table1351452010[[#This Row],[ต้นทุน]]*5%),Table1351452010[[#This Row],[ค่าเชื่อมสัญญาณ/
ค่าติดตั้ง/
ค่าขายอุปกรณ์
(เรียกเก็บสุทธิ)]]*$AC$3,"0")</f>
        <v>0</v>
      </c>
      <c r="AD71" s="619">
        <f>SUM(Table1351452010[[#This Row],[คอมฯ
 5%]:[คอมฯ
10%]])</f>
        <v>0</v>
      </c>
      <c r="AE71" s="631">
        <v>0</v>
      </c>
      <c r="AF71" s="601"/>
      <c r="AG71" s="623">
        <f>IF(Table1351452010[[#This Row],[หัก ณ ที่จ่าย
(ค่าเชื่อมสัญญาณ)]]="มี",Table1351452010[[#This Row],[ค่าเชื่อมสัญญาณ]]*$AG$4,0)</f>
        <v>0</v>
      </c>
      <c r="AH71" s="398">
        <f>Table1351452010[[#This Row],[ค่าเชื่อมสัญญาณ]]-Table1351452010[[#This Row],[มูลค่าหัก 3%
(ค่าเชื่อมสัญญาณ)]]</f>
        <v>0</v>
      </c>
      <c r="AI71" s="403">
        <f>Table1351452010[[#This Row],[ค่าเชื่อมสัญญาณ
(เรียกเก็บสุทธิ)]]*$AI$3</f>
        <v>0</v>
      </c>
      <c r="AJ71" s="554">
        <f>Table1351452010[[#This Row],[สั่งจ่ายปีที่1]]+Table1351452010[[#This Row],[Total
ค่าเชื่มสัญญาณ/ค่าติดตั้ง/
ค่าขายอุปกรณ์
(2)]]+Table1351452010[[#This Row],[Total 
คอมฯค่าเชื่อมสัญญาณ
(3)]]</f>
        <v>12000</v>
      </c>
      <c r="AK71" s="555"/>
      <c r="AL71" s="555"/>
      <c r="AM71" s="556"/>
      <c r="AN71" s="680" t="s">
        <v>246</v>
      </c>
    </row>
    <row r="72" spans="1:40" s="584" customFormat="1" ht="27" customHeight="1">
      <c r="A72" s="557"/>
      <c r="B72" s="560"/>
      <c r="C72" s="558"/>
      <c r="D72" s="673"/>
      <c r="E72" s="559"/>
      <c r="F72" s="559"/>
      <c r="G72" s="585"/>
      <c r="H72" s="678"/>
      <c r="I72" s="561"/>
      <c r="J72" s="559"/>
      <c r="K72" s="559"/>
      <c r="L72" s="562"/>
      <c r="M72" s="562"/>
      <c r="N72" s="563"/>
      <c r="O72" s="564"/>
      <c r="P72" s="565"/>
      <c r="Q72" s="664"/>
      <c r="R72" s="665"/>
      <c r="S72" s="665"/>
      <c r="T72" s="665"/>
      <c r="U72" s="666"/>
      <c r="V72" s="392"/>
      <c r="W72" s="410"/>
      <c r="X72" s="412"/>
      <c r="Y72" s="390"/>
      <c r="Z72" s="393"/>
      <c r="AA72" s="647" t="e">
        <f t="shared" ref="AA72" si="16">AA71/Z71</f>
        <v>#DIV/0!</v>
      </c>
      <c r="AB72" s="596"/>
      <c r="AC72" s="596"/>
      <c r="AD72" s="620"/>
      <c r="AE72" s="407"/>
      <c r="AF72" s="410"/>
      <c r="AG72" s="410"/>
      <c r="AH72" s="394"/>
      <c r="AI72" s="404"/>
      <c r="AJ72" s="566"/>
      <c r="AK72" s="567"/>
      <c r="AL72" s="567"/>
      <c r="AM72" s="568"/>
      <c r="AN72" s="681"/>
    </row>
    <row r="73" spans="1:40" s="584" customFormat="1" ht="27" customHeight="1">
      <c r="A73" s="557"/>
      <c r="B73" s="560"/>
      <c r="C73" s="557"/>
      <c r="D73" s="674"/>
      <c r="E73" s="569"/>
      <c r="F73" s="569"/>
      <c r="G73" s="585"/>
      <c r="H73" s="651"/>
      <c r="I73" s="561"/>
      <c r="J73" s="559"/>
      <c r="K73" s="559"/>
      <c r="L73" s="562"/>
      <c r="M73" s="562"/>
      <c r="N73" s="559"/>
      <c r="O73" s="570"/>
      <c r="P73" s="571"/>
      <c r="Q73" s="667"/>
      <c r="R73" s="668"/>
      <c r="S73" s="668"/>
      <c r="T73" s="668"/>
      <c r="U73" s="669"/>
      <c r="V73" s="392"/>
      <c r="W73" s="410"/>
      <c r="X73" s="412"/>
      <c r="Y73" s="390"/>
      <c r="Z73" s="393"/>
      <c r="AA73" s="393"/>
      <c r="AB73" s="596"/>
      <c r="AC73" s="596"/>
      <c r="AD73" s="621"/>
      <c r="AE73" s="408"/>
      <c r="AF73" s="410"/>
      <c r="AG73" s="410"/>
      <c r="AH73" s="394"/>
      <c r="AI73" s="404"/>
      <c r="AJ73" s="566"/>
      <c r="AK73" s="567"/>
      <c r="AL73" s="567"/>
      <c r="AM73" s="568"/>
      <c r="AN73" s="681"/>
    </row>
    <row r="74" spans="1:40" s="584" customFormat="1" ht="27" customHeight="1" thickBot="1">
      <c r="A74" s="572"/>
      <c r="B74" s="574"/>
      <c r="C74" s="572"/>
      <c r="D74" s="675"/>
      <c r="E74" s="573"/>
      <c r="F74" s="573"/>
      <c r="G74" s="575"/>
      <c r="H74" s="652"/>
      <c r="I74" s="576"/>
      <c r="J74" s="577"/>
      <c r="K74" s="577"/>
      <c r="L74" s="578"/>
      <c r="M74" s="578"/>
      <c r="N74" s="577"/>
      <c r="O74" s="579"/>
      <c r="P74" s="580"/>
      <c r="Q74" s="670"/>
      <c r="R74" s="671"/>
      <c r="S74" s="671"/>
      <c r="T74" s="671"/>
      <c r="U74" s="671"/>
      <c r="V74" s="395"/>
      <c r="W74" s="411"/>
      <c r="X74" s="413"/>
      <c r="Y74" s="391"/>
      <c r="Z74" s="389"/>
      <c r="AA74" s="648"/>
      <c r="AB74" s="597"/>
      <c r="AC74" s="597"/>
      <c r="AD74" s="622"/>
      <c r="AE74" s="409"/>
      <c r="AF74" s="411"/>
      <c r="AG74" s="411"/>
      <c r="AH74" s="396"/>
      <c r="AI74" s="405"/>
      <c r="AJ74" s="581"/>
      <c r="AK74" s="582"/>
      <c r="AL74" s="582"/>
      <c r="AM74" s="583"/>
      <c r="AN74" s="682"/>
    </row>
    <row r="75" spans="1:40" s="584" customFormat="1" ht="27" customHeight="1">
      <c r="A75" s="624">
        <v>18</v>
      </c>
      <c r="B75" s="770">
        <v>45597</v>
      </c>
      <c r="C75" s="625">
        <v>120000069067</v>
      </c>
      <c r="D75" s="672" t="s">
        <v>237</v>
      </c>
      <c r="E75" s="626" t="s">
        <v>151</v>
      </c>
      <c r="F75" s="626" t="s">
        <v>45</v>
      </c>
      <c r="G75" s="627">
        <v>24</v>
      </c>
      <c r="H75" s="768">
        <v>0.04</v>
      </c>
      <c r="I75" s="630">
        <v>45689</v>
      </c>
      <c r="J75" s="628">
        <v>6500</v>
      </c>
      <c r="K75" s="628"/>
      <c r="L75" s="599"/>
      <c r="M75" s="600">
        <f>IF(Table1351452010[[#This Row],[หัก ณ ที่จ่าย
(ค่าบริการ)]]="มี",Table1351452010[[#This Row],[ค่าบริการเฉลี่ยต่อเดือน]]*3%,0)</f>
        <v>0</v>
      </c>
      <c r="N75" s="552">
        <f>(Table1351452010[[#This Row],[ค่าบริการเฉลี่ยต่อเดือน]]-Table1351452010[[#This Row],[ต้นทุนช่องรายการ
(ถ้ามี)]]-Table1351452010[[#This Row],[มูลค่าหัก 3%]])</f>
        <v>6500</v>
      </c>
      <c r="O7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6240</v>
      </c>
      <c r="P75" s="761">
        <f>Table1351452010[[#This Row],[ระยะเวลาสัญญา
(เดือน)]]/$P$5</f>
        <v>2</v>
      </c>
      <c r="Q75" s="765">
        <f>Table1351452010[[#This Row],[Total
รายการเบิก
คอมขาย
(1)]]/2</f>
        <v>3120</v>
      </c>
      <c r="R75" s="766">
        <v>3120</v>
      </c>
      <c r="S75" s="766"/>
      <c r="T75" s="766"/>
      <c r="U75" s="764"/>
      <c r="V75" s="655">
        <v>15000</v>
      </c>
      <c r="W75" s="656"/>
      <c r="X75" s="657">
        <f>IF(Table1351452010[[#This Row],[หัก ณ ที่จ่าย
(ค่าติตั้ง)]]="มี",Table1351452010[[#This Row],[ค่าเชื่อมสัญญาณ/
ค่าติดตั้ง/
ค่าขายอุปกรณ์]]*$X$4,0)</f>
        <v>0</v>
      </c>
      <c r="Y75" s="658">
        <f>Table1351452010[[#This Row],[ค่าเชื่อมสัญญาณ/
ค่าติดตั้ง/
ค่าขายอุปกรณ์]]-Table1351452010[[#This Row],[มูลค่าหัก 3%
(ค่าติดตั้ง)]]</f>
        <v>15000</v>
      </c>
      <c r="Z75" s="659">
        <v>16808.57</v>
      </c>
      <c r="AA75" s="646">
        <f>Table1351452010[[#This Row],[ค่าเชื่อมสัญญาณ/
ค่าติดตั้ง/
ค่าขายอุปกรณ์
(เรียกเก็บสุทธิ)]]-Table1351452010[[#This Row],[ต้นทุน]]</f>
        <v>-1808.5699999999997</v>
      </c>
      <c r="AB75" s="789">
        <f>IF(Table1351452010[[#This Row],[ส่วนต่างกำไร]]&lt;(Table1351452010[[#This Row],[ต้นทุน]]*5%),Table1351452010[[#This Row],[ค่าเชื่อมสัญญาณ/
ค่าติดตั้ง/
ค่าขายอุปกรณ์
(เรียกเก็บสุทธิ)]]*$AB$3,"0")</f>
        <v>750</v>
      </c>
      <c r="AC75" s="789" t="str">
        <f>IF(Table1351452010[[#This Row],[ส่วนต่างกำไร]]&gt;=(Table1351452010[[#This Row],[ต้นทุน]]*5%),Table1351452010[[#This Row],[ค่าเชื่อมสัญญาณ/
ค่าติดตั้ง/
ค่าขายอุปกรณ์
(เรียกเก็บสุทธิ)]]*$AC$3,"0")</f>
        <v>0</v>
      </c>
      <c r="AD75" s="619">
        <f>SUM(Table1351452010[[#This Row],[คอมฯ
 5%]:[คอมฯ
10%]])</f>
        <v>750</v>
      </c>
      <c r="AE75" s="631">
        <v>0</v>
      </c>
      <c r="AF75" s="601"/>
      <c r="AG75" s="623">
        <f>IF(Table1351452010[[#This Row],[หัก ณ ที่จ่าย
(ค่าเชื่อมสัญญาณ)]]="มี",Table1351452010[[#This Row],[ค่าเชื่อมสัญญาณ]]*$AG$4,0)</f>
        <v>0</v>
      </c>
      <c r="AH75" s="398">
        <f>Table1351452010[[#This Row],[ค่าเชื่อมสัญญาณ]]-Table1351452010[[#This Row],[มูลค่าหัก 3%
(ค่าเชื่อมสัญญาณ)]]</f>
        <v>0</v>
      </c>
      <c r="AI75" s="403">
        <f>Table1351452010[[#This Row],[ค่าเชื่อมสัญญาณ
(เรียกเก็บสุทธิ)]]*$AI$3</f>
        <v>0</v>
      </c>
      <c r="AJ75" s="554">
        <f>Table1351452010[[#This Row],[สั่งจ่ายปีที่1]]+Table1351452010[[#This Row],[Total
ค่าเชื่มสัญญาณ/ค่าติดตั้ง/
ค่าขายอุปกรณ์
(2)]]+Table1351452010[[#This Row],[Total 
คอมฯค่าเชื่อมสัญญาณ
(3)]]</f>
        <v>3870</v>
      </c>
      <c r="AK75" s="555"/>
      <c r="AL75" s="555"/>
      <c r="AM75" s="556"/>
      <c r="AN75" s="680" t="s">
        <v>246</v>
      </c>
    </row>
    <row r="76" spans="1:40" s="584" customFormat="1" ht="27" customHeight="1">
      <c r="A76" s="557">
        <v>22.678571428571502</v>
      </c>
      <c r="B76" s="560"/>
      <c r="C76" s="558"/>
      <c r="D76" s="673" t="s">
        <v>232</v>
      </c>
      <c r="E76" s="559"/>
      <c r="F76" s="559"/>
      <c r="G76" s="585"/>
      <c r="H76" s="651"/>
      <c r="I76" s="561"/>
      <c r="J76" s="559"/>
      <c r="K76" s="559"/>
      <c r="L76" s="562"/>
      <c r="M76" s="562"/>
      <c r="N76" s="563"/>
      <c r="O76" s="564"/>
      <c r="P76" s="565"/>
      <c r="Q76" s="664"/>
      <c r="R76" s="665"/>
      <c r="S76" s="665"/>
      <c r="T76" s="665"/>
      <c r="U76" s="666"/>
      <c r="V76" s="392"/>
      <c r="W76" s="410"/>
      <c r="X76" s="412"/>
      <c r="Y76" s="390"/>
      <c r="Z76" s="393"/>
      <c r="AA76" s="647">
        <f t="shared" ref="AA76" si="17">AA75/Z75</f>
        <v>-0.10759808835611832</v>
      </c>
      <c r="AB76" s="596"/>
      <c r="AC76" s="596"/>
      <c r="AD76" s="620"/>
      <c r="AE76" s="407"/>
      <c r="AF76" s="410"/>
      <c r="AG76" s="410"/>
      <c r="AH76" s="394"/>
      <c r="AI76" s="404"/>
      <c r="AJ76" s="566"/>
      <c r="AK76" s="567"/>
      <c r="AL76" s="567"/>
      <c r="AM76" s="568"/>
      <c r="AN76" s="681"/>
    </row>
    <row r="77" spans="1:40" s="584" customFormat="1" ht="27" customHeight="1">
      <c r="A77" s="557">
        <v>23.8857142857143</v>
      </c>
      <c r="B77" s="560"/>
      <c r="C77" s="557"/>
      <c r="D77" s="676"/>
      <c r="E77" s="569"/>
      <c r="F77" s="569"/>
      <c r="G77" s="585"/>
      <c r="H77" s="651"/>
      <c r="I77" s="561"/>
      <c r="J77" s="559"/>
      <c r="K77" s="559"/>
      <c r="L77" s="562"/>
      <c r="M77" s="562"/>
      <c r="N77" s="559"/>
      <c r="O77" s="570"/>
      <c r="P77" s="571"/>
      <c r="Q77" s="667"/>
      <c r="R77" s="668"/>
      <c r="S77" s="668"/>
      <c r="T77" s="668"/>
      <c r="U77" s="669"/>
      <c r="V77" s="392"/>
      <c r="W77" s="410"/>
      <c r="X77" s="412"/>
      <c r="Y77" s="390"/>
      <c r="Z77" s="393"/>
      <c r="AA77" s="415"/>
      <c r="AB77" s="596"/>
      <c r="AC77" s="596"/>
      <c r="AD77" s="621"/>
      <c r="AE77" s="408"/>
      <c r="AF77" s="410"/>
      <c r="AG77" s="410"/>
      <c r="AH77" s="394"/>
      <c r="AI77" s="404"/>
      <c r="AJ77" s="566"/>
      <c r="AK77" s="567"/>
      <c r="AL77" s="567"/>
      <c r="AM77" s="568"/>
      <c r="AN77" s="681"/>
    </row>
    <row r="78" spans="1:40" s="584" customFormat="1" ht="27" customHeight="1" thickBot="1">
      <c r="A78" s="572">
        <v>25.092857142857198</v>
      </c>
      <c r="B78" s="574"/>
      <c r="C78" s="572"/>
      <c r="D78" s="675"/>
      <c r="E78" s="573"/>
      <c r="F78" s="573"/>
      <c r="G78" s="575"/>
      <c r="H78" s="652"/>
      <c r="I78" s="576"/>
      <c r="J78" s="577"/>
      <c r="K78" s="577"/>
      <c r="L78" s="578"/>
      <c r="M78" s="578"/>
      <c r="N78" s="577"/>
      <c r="O78" s="579"/>
      <c r="P78" s="580"/>
      <c r="Q78" s="670"/>
      <c r="R78" s="671"/>
      <c r="S78" s="671"/>
      <c r="T78" s="671"/>
      <c r="U78" s="671"/>
      <c r="V78" s="395"/>
      <c r="W78" s="411"/>
      <c r="X78" s="413"/>
      <c r="Y78" s="391"/>
      <c r="Z78" s="389"/>
      <c r="AA78" s="416"/>
      <c r="AB78" s="597"/>
      <c r="AC78" s="597"/>
      <c r="AD78" s="622"/>
      <c r="AE78" s="409"/>
      <c r="AF78" s="411"/>
      <c r="AG78" s="411"/>
      <c r="AH78" s="396"/>
      <c r="AI78" s="405"/>
      <c r="AJ78" s="581"/>
      <c r="AK78" s="582"/>
      <c r="AL78" s="582"/>
      <c r="AM78" s="583"/>
      <c r="AN78" s="682"/>
    </row>
    <row r="79" spans="1:40" s="584" customFormat="1" ht="27" customHeight="1">
      <c r="A79" s="624">
        <v>19</v>
      </c>
      <c r="B79" s="770">
        <v>45597</v>
      </c>
      <c r="C79" s="625" t="s">
        <v>247</v>
      </c>
      <c r="D79" s="672" t="s">
        <v>272</v>
      </c>
      <c r="E79" s="626" t="s">
        <v>74</v>
      </c>
      <c r="F79" s="626" t="s">
        <v>45</v>
      </c>
      <c r="G79" s="627">
        <v>12</v>
      </c>
      <c r="H79" s="768">
        <v>0.04</v>
      </c>
      <c r="I79" s="630" t="s">
        <v>247</v>
      </c>
      <c r="J79" s="628">
        <v>8500</v>
      </c>
      <c r="K79" s="628"/>
      <c r="L79" s="599"/>
      <c r="M79" s="600">
        <f>IF(Table1351452010[[#This Row],[หัก ณ ที่จ่าย
(ค่าบริการ)]]="มี",Table1351452010[[#This Row],[ค่าบริการเฉลี่ยต่อเดือน]]*3%,0)</f>
        <v>0</v>
      </c>
      <c r="N79" s="552">
        <f>(Table1351452010[[#This Row],[ค่าบริการเฉลี่ยต่อเดือน]]-Table1351452010[[#This Row],[ต้นทุนช่องรายการ
(ถ้ามี)]]-Table1351452010[[#This Row],[มูลค่าหัก 3%]])</f>
        <v>8500</v>
      </c>
      <c r="O7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4080</v>
      </c>
      <c r="P79" s="761">
        <f>Table1351452010[[#This Row],[ระยะเวลาสัญญา
(เดือน)]]/$P$5</f>
        <v>1</v>
      </c>
      <c r="Q79" s="765">
        <f>Table1351452010[[#This Row],[Total
รายการเบิก
คอมขาย
(1)]]</f>
        <v>4080</v>
      </c>
      <c r="R79" s="766"/>
      <c r="S79" s="766"/>
      <c r="T79" s="766"/>
      <c r="U79" s="764"/>
      <c r="V79" s="629">
        <v>0</v>
      </c>
      <c r="W79" s="601"/>
      <c r="X79" s="602">
        <f>IF(Table1351452010[[#This Row],[หัก ณ ที่จ่าย
(ค่าติตั้ง)]]="มี",Table1351452010[[#This Row],[ค่าเชื่อมสัญญาณ/
ค่าติดตั้ง/
ค่าขายอุปกรณ์]]*$X$4,0)</f>
        <v>0</v>
      </c>
      <c r="Y79" s="397">
        <f>Table1351452010[[#This Row],[ค่าเชื่อมสัญญาณ/
ค่าติดตั้ง/
ค่าขายอุปกรณ์]]-Table1351452010[[#This Row],[มูลค่าหัก 3%
(ค่าติดตั้ง)]]</f>
        <v>0</v>
      </c>
      <c r="Z79" s="331">
        <v>0</v>
      </c>
      <c r="AA79" s="646">
        <f>Table1351452010[[#This Row],[ค่าเชื่อมสัญญาณ/
ค่าติดตั้ง/
ค่าขายอุปกรณ์
(เรียกเก็บสุทธิ)]]-Table1351452010[[#This Row],[ต้นทุน]]</f>
        <v>0</v>
      </c>
      <c r="AB79" s="789" t="str">
        <f>IF(Table1351452010[[#This Row],[ส่วนต่างกำไร]]&lt;(Table1351452010[[#This Row],[ต้นทุน]]*5%),Table1351452010[[#This Row],[ค่าเชื่อมสัญญาณ/
ค่าติดตั้ง/
ค่าขายอุปกรณ์
(เรียกเก็บสุทธิ)]]*$AB$3,"0")</f>
        <v>0</v>
      </c>
      <c r="AC79" s="789">
        <f>IF(Table1351452010[[#This Row],[ส่วนต่างกำไร]]&gt;=(Table1351452010[[#This Row],[ต้นทุน]]*5%),Table1351452010[[#This Row],[ค่าเชื่อมสัญญาณ/
ค่าติดตั้ง/
ค่าขายอุปกรณ์
(เรียกเก็บสุทธิ)]]*$AC$3,"0")</f>
        <v>0</v>
      </c>
      <c r="AD79" s="619">
        <f>SUM(Table1351452010[[#This Row],[คอมฯ
 5%]:[คอมฯ
10%]])</f>
        <v>0</v>
      </c>
      <c r="AE79" s="631">
        <v>0</v>
      </c>
      <c r="AF79" s="601"/>
      <c r="AG79" s="623">
        <f>IF(Table1351452010[[#This Row],[หัก ณ ที่จ่าย
(ค่าเชื่อมสัญญาณ)]]="มี",Table1351452010[[#This Row],[ค่าเชื่อมสัญญาณ]]*$AG$4,0)</f>
        <v>0</v>
      </c>
      <c r="AH79" s="398">
        <f>Table1351452010[[#This Row],[ค่าเชื่อมสัญญาณ]]-Table1351452010[[#This Row],[มูลค่าหัก 3%
(ค่าเชื่อมสัญญาณ)]]</f>
        <v>0</v>
      </c>
      <c r="AI79" s="403">
        <f>Table1351452010[[#This Row],[ค่าเชื่อมสัญญาณ
(เรียกเก็บสุทธิ)]]*$AI$3</f>
        <v>0</v>
      </c>
      <c r="AJ79" s="554">
        <f>Table1351452010[[#This Row],[สั่งจ่ายปีที่1]]+Table1351452010[[#This Row],[Total
ค่าเชื่มสัญญาณ/ค่าติดตั้ง/
ค่าขายอุปกรณ์
(2)]]+Table1351452010[[#This Row],[Total 
คอมฯค่าเชื่อมสัญญาณ
(3)]]</f>
        <v>4080</v>
      </c>
      <c r="AK79" s="555"/>
      <c r="AL79" s="555"/>
      <c r="AM79" s="556"/>
      <c r="AN79" s="680" t="s">
        <v>246</v>
      </c>
    </row>
    <row r="80" spans="1:40" s="584" customFormat="1" ht="27" customHeight="1">
      <c r="A80" s="557"/>
      <c r="B80" s="560"/>
      <c r="C80" s="558"/>
      <c r="D80" s="673"/>
      <c r="E80" s="559"/>
      <c r="F80" s="559"/>
      <c r="G80" s="585"/>
      <c r="H80" s="678"/>
      <c r="I80" s="561"/>
      <c r="J80" s="559"/>
      <c r="K80" s="559"/>
      <c r="L80" s="562"/>
      <c r="M80" s="562"/>
      <c r="N80" s="563"/>
      <c r="O80" s="564"/>
      <c r="P80" s="565"/>
      <c r="Q80" s="664"/>
      <c r="R80" s="665"/>
      <c r="S80" s="665"/>
      <c r="T80" s="665"/>
      <c r="U80" s="666"/>
      <c r="V80" s="392"/>
      <c r="W80" s="410"/>
      <c r="X80" s="412"/>
      <c r="Y80" s="390"/>
      <c r="Z80" s="393"/>
      <c r="AA80" s="647" t="e">
        <f t="shared" ref="AA80" si="18">AA79/Z79</f>
        <v>#DIV/0!</v>
      </c>
      <c r="AB80" s="596"/>
      <c r="AC80" s="596"/>
      <c r="AD80" s="620"/>
      <c r="AE80" s="407"/>
      <c r="AF80" s="410"/>
      <c r="AG80" s="410"/>
      <c r="AH80" s="394"/>
      <c r="AI80" s="404"/>
      <c r="AJ80" s="566"/>
      <c r="AK80" s="567"/>
      <c r="AL80" s="567"/>
      <c r="AM80" s="568"/>
      <c r="AN80" s="681"/>
    </row>
    <row r="81" spans="1:40" s="584" customFormat="1" ht="27" customHeight="1">
      <c r="A81" s="557"/>
      <c r="B81" s="560"/>
      <c r="C81" s="557"/>
      <c r="D81" s="674"/>
      <c r="E81" s="569"/>
      <c r="F81" s="569"/>
      <c r="G81" s="585"/>
      <c r="H81" s="651"/>
      <c r="I81" s="561"/>
      <c r="J81" s="559"/>
      <c r="K81" s="559"/>
      <c r="L81" s="562"/>
      <c r="M81" s="562"/>
      <c r="N81" s="559"/>
      <c r="O81" s="570"/>
      <c r="P81" s="571"/>
      <c r="Q81" s="667"/>
      <c r="R81" s="668"/>
      <c r="S81" s="668"/>
      <c r="T81" s="668"/>
      <c r="U81" s="669"/>
      <c r="V81" s="392"/>
      <c r="W81" s="410"/>
      <c r="X81" s="412"/>
      <c r="Y81" s="390"/>
      <c r="Z81" s="393"/>
      <c r="AA81" s="393"/>
      <c r="AB81" s="596"/>
      <c r="AC81" s="596"/>
      <c r="AD81" s="621"/>
      <c r="AE81" s="408"/>
      <c r="AF81" s="410"/>
      <c r="AG81" s="410"/>
      <c r="AH81" s="394"/>
      <c r="AI81" s="404"/>
      <c r="AJ81" s="566"/>
      <c r="AK81" s="567"/>
      <c r="AL81" s="567"/>
      <c r="AM81" s="568"/>
      <c r="AN81" s="681"/>
    </row>
    <row r="82" spans="1:40" s="584" customFormat="1" ht="27" customHeight="1" thickBot="1">
      <c r="A82" s="572"/>
      <c r="B82" s="574"/>
      <c r="C82" s="572"/>
      <c r="D82" s="675"/>
      <c r="E82" s="573"/>
      <c r="F82" s="573"/>
      <c r="G82" s="575"/>
      <c r="H82" s="652"/>
      <c r="I82" s="576"/>
      <c r="J82" s="577"/>
      <c r="K82" s="577"/>
      <c r="L82" s="578"/>
      <c r="M82" s="578"/>
      <c r="N82" s="577"/>
      <c r="O82" s="579"/>
      <c r="P82" s="580"/>
      <c r="Q82" s="670"/>
      <c r="R82" s="671"/>
      <c r="S82" s="671"/>
      <c r="T82" s="671"/>
      <c r="U82" s="671"/>
      <c r="V82" s="395"/>
      <c r="W82" s="411"/>
      <c r="X82" s="413"/>
      <c r="Y82" s="391"/>
      <c r="Z82" s="389"/>
      <c r="AA82" s="648"/>
      <c r="AB82" s="597"/>
      <c r="AC82" s="597"/>
      <c r="AD82" s="622"/>
      <c r="AE82" s="409"/>
      <c r="AF82" s="411"/>
      <c r="AG82" s="411"/>
      <c r="AH82" s="396"/>
      <c r="AI82" s="405"/>
      <c r="AJ82" s="581"/>
      <c r="AK82" s="582"/>
      <c r="AL82" s="582"/>
      <c r="AM82" s="583"/>
      <c r="AN82" s="682"/>
    </row>
    <row r="83" spans="1:40" s="584" customFormat="1" ht="27" customHeight="1">
      <c r="A83" s="624">
        <v>20</v>
      </c>
      <c r="B83" s="770">
        <v>45597</v>
      </c>
      <c r="C83" s="625" t="s">
        <v>247</v>
      </c>
      <c r="D83" s="672" t="s">
        <v>238</v>
      </c>
      <c r="E83" s="626" t="s">
        <v>70</v>
      </c>
      <c r="F83" s="626" t="s">
        <v>45</v>
      </c>
      <c r="G83" s="627">
        <v>24</v>
      </c>
      <c r="H83" s="768">
        <v>0.04</v>
      </c>
      <c r="I83" s="630" t="s">
        <v>247</v>
      </c>
      <c r="J83" s="628">
        <v>6250</v>
      </c>
      <c r="K83" s="628"/>
      <c r="L83" s="599"/>
      <c r="M83" s="600">
        <f>IF(Table1351452010[[#This Row],[หัก ณ ที่จ่าย
(ค่าบริการ)]]="มี",Table1351452010[[#This Row],[ค่าบริการเฉลี่ยต่อเดือน]]*3%,0)</f>
        <v>0</v>
      </c>
      <c r="N83" s="552">
        <f>(Table1351452010[[#This Row],[ค่าบริการเฉลี่ยต่อเดือน]]-Table1351452010[[#This Row],[ต้นทุนช่องรายการ
(ถ้ามี)]]-Table1351452010[[#This Row],[มูลค่าหัก 3%]])</f>
        <v>6250</v>
      </c>
      <c r="O8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6000</v>
      </c>
      <c r="P83" s="761">
        <f>Table1351452010[[#This Row],[ระยะเวลาสัญญา
(เดือน)]]/$P$5</f>
        <v>2</v>
      </c>
      <c r="Q83" s="765">
        <f>Table1351452010[[#This Row],[Total
รายการเบิก
คอมขาย
(1)]]/2</f>
        <v>3000</v>
      </c>
      <c r="R83" s="766">
        <v>3000</v>
      </c>
      <c r="S83" s="766"/>
      <c r="T83" s="766"/>
      <c r="U83" s="764"/>
      <c r="V83" s="629">
        <v>10000</v>
      </c>
      <c r="W83" s="601"/>
      <c r="X83" s="602">
        <f>IF(Table1351452010[[#This Row],[หัก ณ ที่จ่าย
(ค่าติตั้ง)]]="มี",Table1351452010[[#This Row],[ค่าเชื่อมสัญญาณ/
ค่าติดตั้ง/
ค่าขายอุปกรณ์]]*$X$4,0)</f>
        <v>0</v>
      </c>
      <c r="Y83" s="658">
        <f>Table1351452010[[#This Row],[ค่าเชื่อมสัญญาณ/
ค่าติดตั้ง/
ค่าขายอุปกรณ์]]-Table1351452010[[#This Row],[มูลค่าหัก 3%
(ค่าติดตั้ง)]]</f>
        <v>10000</v>
      </c>
      <c r="Z83" s="659">
        <v>6430</v>
      </c>
      <c r="AA83" s="646">
        <f>Table1351452010[[#This Row],[ค่าเชื่อมสัญญาณ/
ค่าติดตั้ง/
ค่าขายอุปกรณ์
(เรียกเก็บสุทธิ)]]-Table1351452010[[#This Row],[ต้นทุน]]</f>
        <v>3570</v>
      </c>
      <c r="AB83" s="789" t="str">
        <f>IF(Table1351452010[[#This Row],[ส่วนต่างกำไร]]&lt;(Table1351452010[[#This Row],[ต้นทุน]]*5%),Table1351452010[[#This Row],[ค่าเชื่อมสัญญาณ/
ค่าติดตั้ง/
ค่าขายอุปกรณ์
(เรียกเก็บสุทธิ)]]*$AB$3,"0")</f>
        <v>0</v>
      </c>
      <c r="AC83" s="789">
        <f>IF(Table1351452010[[#This Row],[ส่วนต่างกำไร]]&gt;=(Table1351452010[[#This Row],[ต้นทุน]]*5%),Table1351452010[[#This Row],[ค่าเชื่อมสัญญาณ/
ค่าติดตั้ง/
ค่าขายอุปกรณ์
(เรียกเก็บสุทธิ)]]*$AC$3,"0")</f>
        <v>1000</v>
      </c>
      <c r="AD83" s="619">
        <f>SUM(Table1351452010[[#This Row],[คอมฯ
 5%]:[คอมฯ
10%]])</f>
        <v>1000</v>
      </c>
      <c r="AE83" s="631">
        <v>0</v>
      </c>
      <c r="AF83" s="601"/>
      <c r="AG83" s="623">
        <f>IF(Table1351452010[[#This Row],[หัก ณ ที่จ่าย
(ค่าเชื่อมสัญญาณ)]]="มี",Table1351452010[[#This Row],[ค่าเชื่อมสัญญาณ]]*$AG$4,0)</f>
        <v>0</v>
      </c>
      <c r="AH83" s="398">
        <f>Table1351452010[[#This Row],[ค่าเชื่อมสัญญาณ]]-Table1351452010[[#This Row],[มูลค่าหัก 3%
(ค่าเชื่อมสัญญาณ)]]</f>
        <v>0</v>
      </c>
      <c r="AI83" s="403">
        <f>Table1351452010[[#This Row],[ค่าเชื่อมสัญญาณ
(เรียกเก็บสุทธิ)]]*$AI$3</f>
        <v>0</v>
      </c>
      <c r="AJ83" s="554">
        <f>Table1351452010[[#This Row],[สั่งจ่ายปีที่1]]+Table1351452010[[#This Row],[Total
ค่าเชื่มสัญญาณ/ค่าติดตั้ง/
ค่าขายอุปกรณ์
(2)]]+Table1351452010[[#This Row],[Total 
คอมฯค่าเชื่อมสัญญาณ
(3)]]</f>
        <v>4000</v>
      </c>
      <c r="AK83" s="555"/>
      <c r="AL83" s="555"/>
      <c r="AM83" s="556"/>
      <c r="AN83" s="680" t="s">
        <v>246</v>
      </c>
    </row>
    <row r="84" spans="1:40" s="584" customFormat="1" ht="27" customHeight="1">
      <c r="A84" s="557">
        <v>22.678571428571502</v>
      </c>
      <c r="B84" s="560"/>
      <c r="C84" s="558"/>
      <c r="D84" s="673" t="s">
        <v>239</v>
      </c>
      <c r="E84" s="559"/>
      <c r="F84" s="559"/>
      <c r="G84" s="585"/>
      <c r="H84" s="678"/>
      <c r="I84" s="561"/>
      <c r="J84" s="559"/>
      <c r="K84" s="559"/>
      <c r="L84" s="562"/>
      <c r="M84" s="562"/>
      <c r="N84" s="563"/>
      <c r="O84" s="564"/>
      <c r="P84" s="565"/>
      <c r="Q84" s="664"/>
      <c r="R84" s="665"/>
      <c r="S84" s="665"/>
      <c r="T84" s="665"/>
      <c r="U84" s="666"/>
      <c r="V84" s="392"/>
      <c r="W84" s="410"/>
      <c r="X84" s="412"/>
      <c r="Y84" s="390"/>
      <c r="Z84" s="393"/>
      <c r="AA84" s="647">
        <f t="shared" ref="AA84" si="19">AA83/Z83</f>
        <v>0.55520995334370138</v>
      </c>
      <c r="AB84" s="596"/>
      <c r="AC84" s="596"/>
      <c r="AD84" s="620"/>
      <c r="AE84" s="407"/>
      <c r="AF84" s="410"/>
      <c r="AG84" s="410"/>
      <c r="AH84" s="394"/>
      <c r="AI84" s="404"/>
      <c r="AJ84" s="566"/>
      <c r="AK84" s="567"/>
      <c r="AL84" s="567"/>
      <c r="AM84" s="568"/>
      <c r="AN84" s="681"/>
    </row>
    <row r="85" spans="1:40" s="584" customFormat="1" ht="27" customHeight="1">
      <c r="A85" s="557">
        <v>23.8857142857143</v>
      </c>
      <c r="B85" s="560"/>
      <c r="C85" s="557"/>
      <c r="D85" s="674"/>
      <c r="E85" s="569"/>
      <c r="F85" s="569"/>
      <c r="G85" s="585"/>
      <c r="H85" s="651"/>
      <c r="I85" s="561"/>
      <c r="J85" s="559"/>
      <c r="K85" s="559"/>
      <c r="L85" s="562"/>
      <c r="M85" s="562"/>
      <c r="N85" s="559"/>
      <c r="O85" s="570"/>
      <c r="P85" s="571"/>
      <c r="Q85" s="667"/>
      <c r="R85" s="668"/>
      <c r="S85" s="668"/>
      <c r="T85" s="668"/>
      <c r="U85" s="669"/>
      <c r="V85" s="392"/>
      <c r="W85" s="410"/>
      <c r="X85" s="412"/>
      <c r="Y85" s="390"/>
      <c r="Z85" s="393"/>
      <c r="AA85" s="393"/>
      <c r="AB85" s="596"/>
      <c r="AC85" s="596"/>
      <c r="AD85" s="621"/>
      <c r="AE85" s="408"/>
      <c r="AF85" s="410"/>
      <c r="AG85" s="410"/>
      <c r="AH85" s="394"/>
      <c r="AI85" s="404"/>
      <c r="AJ85" s="566"/>
      <c r="AK85" s="567"/>
      <c r="AL85" s="567"/>
      <c r="AM85" s="568"/>
      <c r="AN85" s="681"/>
    </row>
    <row r="86" spans="1:40" s="584" customFormat="1" ht="27" customHeight="1" thickBot="1">
      <c r="A86" s="572">
        <v>25.092857142857198</v>
      </c>
      <c r="B86" s="574"/>
      <c r="C86" s="572"/>
      <c r="D86" s="675"/>
      <c r="E86" s="573"/>
      <c r="F86" s="573"/>
      <c r="G86" s="575"/>
      <c r="H86" s="652"/>
      <c r="I86" s="576"/>
      <c r="J86" s="577"/>
      <c r="K86" s="577"/>
      <c r="L86" s="578"/>
      <c r="M86" s="578"/>
      <c r="N86" s="577"/>
      <c r="O86" s="579"/>
      <c r="P86" s="580"/>
      <c r="Q86" s="670"/>
      <c r="R86" s="671"/>
      <c r="S86" s="671"/>
      <c r="T86" s="671"/>
      <c r="U86" s="671"/>
      <c r="V86" s="395"/>
      <c r="W86" s="411"/>
      <c r="X86" s="413"/>
      <c r="Y86" s="661"/>
      <c r="Z86" s="648"/>
      <c r="AA86" s="648"/>
      <c r="AB86" s="597"/>
      <c r="AC86" s="597"/>
      <c r="AD86" s="622"/>
      <c r="AE86" s="409"/>
      <c r="AF86" s="411"/>
      <c r="AG86" s="411"/>
      <c r="AH86" s="396"/>
      <c r="AI86" s="405"/>
      <c r="AJ86" s="581"/>
      <c r="AK86" s="582"/>
      <c r="AL86" s="582"/>
      <c r="AM86" s="583"/>
      <c r="AN86" s="682"/>
    </row>
    <row r="87" spans="1:40" s="584" customFormat="1" ht="27" customHeight="1">
      <c r="A87" s="624">
        <v>21</v>
      </c>
      <c r="B87" s="770">
        <v>45597</v>
      </c>
      <c r="C87" s="625">
        <v>120000069160</v>
      </c>
      <c r="D87" s="672" t="s">
        <v>278</v>
      </c>
      <c r="E87" s="626" t="s">
        <v>74</v>
      </c>
      <c r="F87" s="626" t="s">
        <v>45</v>
      </c>
      <c r="G87" s="627">
        <v>24</v>
      </c>
      <c r="H87" s="768">
        <v>0.04</v>
      </c>
      <c r="I87" s="630">
        <v>45658</v>
      </c>
      <c r="J87" s="628">
        <v>31790</v>
      </c>
      <c r="K87" s="628"/>
      <c r="L87" s="599"/>
      <c r="M87" s="600">
        <f>IF(Table1351452010[[#This Row],[หัก ณ ที่จ่าย
(ค่าบริการ)]]="มี",Table1351452010[[#This Row],[ค่าบริการเฉลี่ยต่อเดือน]]*3%,0)</f>
        <v>0</v>
      </c>
      <c r="N87" s="552">
        <f>(Table1351452010[[#This Row],[ค่าบริการเฉลี่ยต่อเดือน]]-Table1351452010[[#This Row],[ต้นทุนช่องรายการ
(ถ้ามี)]]-Table1351452010[[#This Row],[มูลค่าหัก 3%]])</f>
        <v>31790</v>
      </c>
      <c r="O8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30518.400000000001</v>
      </c>
      <c r="P87" s="761">
        <f>Table1351452010[[#This Row],[ระยะเวลาสัญญา
(เดือน)]]/$P$5</f>
        <v>2</v>
      </c>
      <c r="Q87" s="765">
        <f>Table1351452010[[#This Row],[Total
รายการเบิก
คอมขาย
(1)]]/2</f>
        <v>15259.2</v>
      </c>
      <c r="R87" s="766">
        <v>15259.2</v>
      </c>
      <c r="S87" s="766"/>
      <c r="T87" s="766"/>
      <c r="U87" s="764"/>
      <c r="V87" s="629">
        <v>0</v>
      </c>
      <c r="W87" s="601"/>
      <c r="X87" s="602">
        <f>IF(Table1351452010[[#This Row],[หัก ณ ที่จ่าย
(ค่าติตั้ง)]]="มี",Table1351452010[[#This Row],[ค่าเชื่อมสัญญาณ/
ค่าติดตั้ง/
ค่าขายอุปกรณ์]]*$X$4,0)</f>
        <v>0</v>
      </c>
      <c r="Y87" s="658">
        <f>Table1351452010[[#This Row],[ค่าเชื่อมสัญญาณ/
ค่าติดตั้ง/
ค่าขายอุปกรณ์]]-Table1351452010[[#This Row],[มูลค่าหัก 3%
(ค่าติดตั้ง)]]</f>
        <v>0</v>
      </c>
      <c r="Z87" s="659">
        <v>0</v>
      </c>
      <c r="AA87" s="646">
        <f>Table1351452010[[#This Row],[ค่าเชื่อมสัญญาณ/
ค่าติดตั้ง/
ค่าขายอุปกรณ์
(เรียกเก็บสุทธิ)]]-Table1351452010[[#This Row],[ต้นทุน]]</f>
        <v>0</v>
      </c>
      <c r="AB87" s="789" t="str">
        <f>IF(Table1351452010[[#This Row],[ส่วนต่างกำไร]]&lt;(Table1351452010[[#This Row],[ต้นทุน]]*5%),Table1351452010[[#This Row],[ค่าเชื่อมสัญญาณ/
ค่าติดตั้ง/
ค่าขายอุปกรณ์
(เรียกเก็บสุทธิ)]]*$AB$3,"0")</f>
        <v>0</v>
      </c>
      <c r="AC87" s="789">
        <f>IF(Table1351452010[[#This Row],[ส่วนต่างกำไร]]&gt;=(Table1351452010[[#This Row],[ต้นทุน]]*5%),Table1351452010[[#This Row],[ค่าเชื่อมสัญญาณ/
ค่าติดตั้ง/
ค่าขายอุปกรณ์
(เรียกเก็บสุทธิ)]]*$AC$3,"0")</f>
        <v>0</v>
      </c>
      <c r="AD87" s="619">
        <f>SUM(Table1351452010[[#This Row],[คอมฯ
 5%]:[คอมฯ
10%]])</f>
        <v>0</v>
      </c>
      <c r="AE87" s="631">
        <v>0</v>
      </c>
      <c r="AF87" s="601"/>
      <c r="AG87" s="623">
        <f>IF(Table1351452010[[#This Row],[หัก ณ ที่จ่าย
(ค่าเชื่อมสัญญาณ)]]="มี",Table1351452010[[#This Row],[ค่าเชื่อมสัญญาณ]]*$AG$4,0)</f>
        <v>0</v>
      </c>
      <c r="AH87" s="398">
        <f>Table1351452010[[#This Row],[ค่าเชื่อมสัญญาณ]]-Table1351452010[[#This Row],[มูลค่าหัก 3%
(ค่าเชื่อมสัญญาณ)]]</f>
        <v>0</v>
      </c>
      <c r="AI87" s="403">
        <f>Table1351452010[[#This Row],[ค่าเชื่อมสัญญาณ
(เรียกเก็บสุทธิ)]]*$AI$3</f>
        <v>0</v>
      </c>
      <c r="AJ87" s="554">
        <f>Table1351452010[[#This Row],[สั่งจ่ายปีที่1]]+Table1351452010[[#This Row],[Total
ค่าเชื่มสัญญาณ/ค่าติดตั้ง/
ค่าขายอุปกรณ์
(2)]]+Table1351452010[[#This Row],[Total 
คอมฯค่าเชื่อมสัญญาณ
(3)]]</f>
        <v>15259.2</v>
      </c>
      <c r="AK87" s="555"/>
      <c r="AL87" s="555"/>
      <c r="AM87" s="556"/>
      <c r="AN87" s="680" t="s">
        <v>246</v>
      </c>
    </row>
    <row r="88" spans="1:40" s="584" customFormat="1" ht="27" customHeight="1">
      <c r="A88" s="557">
        <v>22.678571428571502</v>
      </c>
      <c r="B88" s="560"/>
      <c r="C88" s="558"/>
      <c r="D88" s="673" t="s">
        <v>279</v>
      </c>
      <c r="E88" s="559"/>
      <c r="F88" s="559"/>
      <c r="G88" s="585"/>
      <c r="H88" s="678"/>
      <c r="I88" s="561"/>
      <c r="J88" s="559"/>
      <c r="K88" s="559"/>
      <c r="L88" s="562"/>
      <c r="M88" s="562"/>
      <c r="N88" s="563"/>
      <c r="O88" s="564"/>
      <c r="P88" s="565"/>
      <c r="Q88" s="664"/>
      <c r="R88" s="665"/>
      <c r="S88" s="665"/>
      <c r="T88" s="665"/>
      <c r="U88" s="666"/>
      <c r="V88" s="392"/>
      <c r="W88" s="410"/>
      <c r="X88" s="412"/>
      <c r="Y88" s="390"/>
      <c r="Z88" s="393"/>
      <c r="AA88" s="647" t="e">
        <f t="shared" ref="AA88" si="20">AA87/Z87</f>
        <v>#DIV/0!</v>
      </c>
      <c r="AB88" s="596"/>
      <c r="AC88" s="596"/>
      <c r="AD88" s="620"/>
      <c r="AE88" s="407"/>
      <c r="AF88" s="410"/>
      <c r="AG88" s="410"/>
      <c r="AH88" s="394"/>
      <c r="AI88" s="404"/>
      <c r="AJ88" s="566"/>
      <c r="AK88" s="567"/>
      <c r="AL88" s="567"/>
      <c r="AM88" s="568"/>
      <c r="AN88" s="681"/>
    </row>
    <row r="89" spans="1:40" s="584" customFormat="1" ht="27" customHeight="1">
      <c r="A89" s="557">
        <v>23.8857142857143</v>
      </c>
      <c r="B89" s="560"/>
      <c r="C89" s="557"/>
      <c r="D89" s="674"/>
      <c r="E89" s="569"/>
      <c r="F89" s="569"/>
      <c r="G89" s="585"/>
      <c r="H89" s="651"/>
      <c r="I89" s="561"/>
      <c r="J89" s="559"/>
      <c r="K89" s="559"/>
      <c r="L89" s="562"/>
      <c r="M89" s="562"/>
      <c r="N89" s="559"/>
      <c r="O89" s="570"/>
      <c r="P89" s="571"/>
      <c r="Q89" s="667"/>
      <c r="R89" s="668"/>
      <c r="S89" s="668"/>
      <c r="T89" s="668"/>
      <c r="U89" s="669"/>
      <c r="V89" s="392"/>
      <c r="W89" s="410"/>
      <c r="X89" s="412"/>
      <c r="Y89" s="390"/>
      <c r="Z89" s="393"/>
      <c r="AA89" s="393"/>
      <c r="AB89" s="596"/>
      <c r="AC89" s="596"/>
      <c r="AD89" s="621"/>
      <c r="AE89" s="408"/>
      <c r="AF89" s="410"/>
      <c r="AG89" s="410"/>
      <c r="AH89" s="394"/>
      <c r="AI89" s="404"/>
      <c r="AJ89" s="566"/>
      <c r="AK89" s="567"/>
      <c r="AL89" s="567"/>
      <c r="AM89" s="568"/>
      <c r="AN89" s="681"/>
    </row>
    <row r="90" spans="1:40" s="584" customFormat="1" ht="27" customHeight="1" thickBot="1">
      <c r="A90" s="572">
        <v>25.092857142857198</v>
      </c>
      <c r="B90" s="574"/>
      <c r="C90" s="572"/>
      <c r="D90" s="675"/>
      <c r="E90" s="573"/>
      <c r="F90" s="573"/>
      <c r="G90" s="575"/>
      <c r="H90" s="652"/>
      <c r="I90" s="576"/>
      <c r="J90" s="577"/>
      <c r="K90" s="577"/>
      <c r="L90" s="578"/>
      <c r="M90" s="578"/>
      <c r="N90" s="577"/>
      <c r="O90" s="579"/>
      <c r="P90" s="580"/>
      <c r="Q90" s="670"/>
      <c r="R90" s="671"/>
      <c r="S90" s="671"/>
      <c r="T90" s="671"/>
      <c r="U90" s="671"/>
      <c r="V90" s="395"/>
      <c r="W90" s="411"/>
      <c r="X90" s="413"/>
      <c r="Y90" s="661"/>
      <c r="Z90" s="648"/>
      <c r="AA90" s="648"/>
      <c r="AB90" s="597"/>
      <c r="AC90" s="597"/>
      <c r="AD90" s="622"/>
      <c r="AE90" s="409"/>
      <c r="AF90" s="411"/>
      <c r="AG90" s="411"/>
      <c r="AH90" s="396"/>
      <c r="AI90" s="405"/>
      <c r="AJ90" s="581"/>
      <c r="AK90" s="582"/>
      <c r="AL90" s="582"/>
      <c r="AM90" s="583"/>
      <c r="AN90" s="682"/>
    </row>
    <row r="91" spans="1:40" s="584" customFormat="1" ht="27" customHeight="1">
      <c r="A91" s="624">
        <v>22</v>
      </c>
      <c r="B91" s="770">
        <v>45627</v>
      </c>
      <c r="C91" s="625" t="s">
        <v>247</v>
      </c>
      <c r="D91" s="672" t="s">
        <v>275</v>
      </c>
      <c r="E91" s="626" t="s">
        <v>130</v>
      </c>
      <c r="F91" s="626" t="s">
        <v>45</v>
      </c>
      <c r="G91" s="627">
        <v>24</v>
      </c>
      <c r="H91" s="768">
        <v>4.2999999999999997E-2</v>
      </c>
      <c r="I91" s="630" t="s">
        <v>247</v>
      </c>
      <c r="J91" s="628">
        <v>12675</v>
      </c>
      <c r="K91" s="628"/>
      <c r="L91" s="599"/>
      <c r="M91" s="600">
        <f>IF(Table1351452010[[#This Row],[หัก ณ ที่จ่าย
(ค่าบริการ)]]="มี",Table1351452010[[#This Row],[ค่าบริการเฉลี่ยต่อเดือน]]*3%,0)</f>
        <v>0</v>
      </c>
      <c r="N91" s="552">
        <f>(Table1351452010[[#This Row],[ค่าบริการเฉลี่ยต่อเดือน]]-Table1351452010[[#This Row],[ต้นทุนช่องรายการ
(ถ้ามี)]]-Table1351452010[[#This Row],[มูลค่าหัก 3%]])</f>
        <v>12675</v>
      </c>
      <c r="O9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13080.599999999999</v>
      </c>
      <c r="P91" s="761">
        <f>Table1351452010[[#This Row],[ระยะเวลาสัญญา
(เดือน)]]/$P$5</f>
        <v>2</v>
      </c>
      <c r="Q91" s="765">
        <f>Table1351452010[[#This Row],[Total
รายการเบิก
คอมขาย
(1)]]/2</f>
        <v>6540.2999999999993</v>
      </c>
      <c r="R91" s="766">
        <v>6540.3</v>
      </c>
      <c r="S91" s="766"/>
      <c r="T91" s="766"/>
      <c r="U91" s="764"/>
      <c r="V91" s="629">
        <v>10000</v>
      </c>
      <c r="W91" s="601"/>
      <c r="X91" s="602">
        <f>IF(Table1351452010[[#This Row],[หัก ณ ที่จ่าย
(ค่าติตั้ง)]]="มี",Table1351452010[[#This Row],[ค่าเชื่อมสัญญาณ/
ค่าติดตั้ง/
ค่าขายอุปกรณ์]]*$X$4,0)</f>
        <v>0</v>
      </c>
      <c r="Y91" s="658">
        <f>Table1351452010[[#This Row],[ค่าเชื่อมสัญญาณ/
ค่าติดตั้ง/
ค่าขายอุปกรณ์]]-Table1351452010[[#This Row],[มูลค่าหัก 3%
(ค่าติดตั้ง)]]</f>
        <v>10000</v>
      </c>
      <c r="Z91" s="659">
        <v>281614</v>
      </c>
      <c r="AA91" s="646">
        <f>Table1351452010[[#This Row],[ค่าเชื่อมสัญญาณ/
ค่าติดตั้ง/
ค่าขายอุปกรณ์
(เรียกเก็บสุทธิ)]]-Table1351452010[[#This Row],[ต้นทุน]]</f>
        <v>-271614</v>
      </c>
      <c r="AB91" s="789">
        <f>IF(Table1351452010[[#This Row],[ส่วนต่างกำไร]]&lt;(Table1351452010[[#This Row],[ต้นทุน]]*5%),Table1351452010[[#This Row],[ค่าเชื่อมสัญญาณ/
ค่าติดตั้ง/
ค่าขายอุปกรณ์
(เรียกเก็บสุทธิ)]]*$AB$3,"0")</f>
        <v>500</v>
      </c>
      <c r="AC91" s="789" t="str">
        <f>IF(Table1351452010[[#This Row],[ส่วนต่างกำไร]]&gt;=(Table1351452010[[#This Row],[ต้นทุน]]*5%),Table1351452010[[#This Row],[ค่าเชื่อมสัญญาณ/
ค่าติดตั้ง/
ค่าขายอุปกรณ์
(เรียกเก็บสุทธิ)]]*$AC$3,"0")</f>
        <v>0</v>
      </c>
      <c r="AD91" s="619">
        <f>SUM(Table1351452010[[#This Row],[คอมฯ
 5%]:[คอมฯ
10%]])</f>
        <v>500</v>
      </c>
      <c r="AE91" s="631">
        <v>0</v>
      </c>
      <c r="AF91" s="601"/>
      <c r="AG91" s="623">
        <f>IF(Table1351452010[[#This Row],[หัก ณ ที่จ่าย
(ค่าเชื่อมสัญญาณ)]]="มี",Table1351452010[[#This Row],[ค่าเชื่อมสัญญาณ]]*$AG$4,0)</f>
        <v>0</v>
      </c>
      <c r="AH91" s="398">
        <f>Table1351452010[[#This Row],[ค่าเชื่อมสัญญาณ]]-Table1351452010[[#This Row],[มูลค่าหัก 3%
(ค่าเชื่อมสัญญาณ)]]</f>
        <v>0</v>
      </c>
      <c r="AI91" s="403">
        <f>Table1351452010[[#This Row],[ค่าเชื่อมสัญญาณ
(เรียกเก็บสุทธิ)]]*$AI$3</f>
        <v>0</v>
      </c>
      <c r="AJ91" s="554">
        <f>Table1351452010[[#This Row],[สั่งจ่ายปีที่1]]+Table1351452010[[#This Row],[Total
ค่าเชื่มสัญญาณ/ค่าติดตั้ง/
ค่าขายอุปกรณ์
(2)]]+Table1351452010[[#This Row],[Total 
คอมฯค่าเชื่อมสัญญาณ
(3)]]</f>
        <v>7040.2999999999993</v>
      </c>
      <c r="AK91" s="555"/>
      <c r="AL91" s="555"/>
      <c r="AM91" s="556"/>
      <c r="AN91" s="680" t="s">
        <v>246</v>
      </c>
    </row>
    <row r="92" spans="1:40" s="584" customFormat="1" ht="27" customHeight="1">
      <c r="A92" s="557">
        <v>22.678571428571502</v>
      </c>
      <c r="B92" s="560"/>
      <c r="C92" s="558"/>
      <c r="D92" s="673"/>
      <c r="E92" s="559"/>
      <c r="F92" s="559"/>
      <c r="G92" s="585"/>
      <c r="H92" s="651"/>
      <c r="I92" s="561"/>
      <c r="J92" s="559"/>
      <c r="K92" s="559"/>
      <c r="L92" s="562"/>
      <c r="M92" s="562"/>
      <c r="N92" s="563"/>
      <c r="O92" s="564"/>
      <c r="P92" s="565"/>
      <c r="Q92" s="664"/>
      <c r="R92" s="665"/>
      <c r="S92" s="665"/>
      <c r="T92" s="665"/>
      <c r="U92" s="666"/>
      <c r="V92" s="392"/>
      <c r="W92" s="410"/>
      <c r="X92" s="412"/>
      <c r="Y92" s="390"/>
      <c r="Z92" s="393"/>
      <c r="AA92" s="647">
        <f t="shared" ref="AA92" si="21">AA91/Z91</f>
        <v>-0.96449040175559453</v>
      </c>
      <c r="AB92" s="596"/>
      <c r="AC92" s="596"/>
      <c r="AD92" s="620"/>
      <c r="AE92" s="407"/>
      <c r="AF92" s="410"/>
      <c r="AG92" s="410"/>
      <c r="AH92" s="394"/>
      <c r="AI92" s="404"/>
      <c r="AJ92" s="566"/>
      <c r="AK92" s="567"/>
      <c r="AL92" s="567"/>
      <c r="AM92" s="568"/>
      <c r="AN92" s="681"/>
    </row>
    <row r="93" spans="1:40" s="584" customFormat="1" ht="27" customHeight="1">
      <c r="A93" s="557">
        <v>23.8857142857143</v>
      </c>
      <c r="B93" s="560"/>
      <c r="C93" s="557"/>
      <c r="D93" s="674"/>
      <c r="E93" s="569"/>
      <c r="F93" s="569"/>
      <c r="G93" s="585"/>
      <c r="H93" s="651"/>
      <c r="I93" s="561"/>
      <c r="J93" s="559"/>
      <c r="K93" s="559"/>
      <c r="L93" s="562"/>
      <c r="M93" s="562"/>
      <c r="N93" s="559"/>
      <c r="O93" s="570"/>
      <c r="P93" s="571"/>
      <c r="Q93" s="667"/>
      <c r="R93" s="668"/>
      <c r="S93" s="668"/>
      <c r="T93" s="668"/>
      <c r="U93" s="669"/>
      <c r="V93" s="392"/>
      <c r="W93" s="410"/>
      <c r="X93" s="412"/>
      <c r="Y93" s="390"/>
      <c r="Z93" s="393"/>
      <c r="AA93" s="393"/>
      <c r="AB93" s="596"/>
      <c r="AC93" s="596"/>
      <c r="AD93" s="621"/>
      <c r="AE93" s="408"/>
      <c r="AF93" s="410"/>
      <c r="AG93" s="410"/>
      <c r="AH93" s="394"/>
      <c r="AI93" s="404"/>
      <c r="AJ93" s="566"/>
      <c r="AK93" s="567"/>
      <c r="AL93" s="567"/>
      <c r="AM93" s="568"/>
      <c r="AN93" s="681"/>
    </row>
    <row r="94" spans="1:40" s="584" customFormat="1" ht="27" customHeight="1" thickBot="1">
      <c r="A94" s="572">
        <v>25.092857142857198</v>
      </c>
      <c r="B94" s="574"/>
      <c r="C94" s="572"/>
      <c r="D94" s="675"/>
      <c r="E94" s="573"/>
      <c r="F94" s="573"/>
      <c r="G94" s="575"/>
      <c r="H94" s="652"/>
      <c r="I94" s="576"/>
      <c r="J94" s="577"/>
      <c r="K94" s="577"/>
      <c r="L94" s="578"/>
      <c r="M94" s="578"/>
      <c r="N94" s="577"/>
      <c r="O94" s="579"/>
      <c r="P94" s="580"/>
      <c r="Q94" s="670"/>
      <c r="R94" s="671"/>
      <c r="S94" s="671"/>
      <c r="T94" s="671"/>
      <c r="U94" s="671"/>
      <c r="V94" s="395"/>
      <c r="W94" s="411"/>
      <c r="X94" s="413"/>
      <c r="Y94" s="661"/>
      <c r="Z94" s="648"/>
      <c r="AA94" s="648"/>
      <c r="AB94" s="597"/>
      <c r="AC94" s="597"/>
      <c r="AD94" s="622"/>
      <c r="AE94" s="409"/>
      <c r="AF94" s="411"/>
      <c r="AG94" s="411"/>
      <c r="AH94" s="396"/>
      <c r="AI94" s="405"/>
      <c r="AJ94" s="581"/>
      <c r="AK94" s="582"/>
      <c r="AL94" s="582"/>
      <c r="AM94" s="583"/>
      <c r="AN94" s="682"/>
    </row>
    <row r="95" spans="1:40" s="584" customFormat="1" ht="27" customHeight="1">
      <c r="A95" s="624">
        <v>23</v>
      </c>
      <c r="B95" s="770">
        <v>45627</v>
      </c>
      <c r="C95" s="625" t="s">
        <v>247</v>
      </c>
      <c r="D95" s="672" t="s">
        <v>274</v>
      </c>
      <c r="E95" s="626" t="s">
        <v>67</v>
      </c>
      <c r="F95" s="626" t="s">
        <v>45</v>
      </c>
      <c r="G95" s="627">
        <v>24</v>
      </c>
      <c r="H95" s="768">
        <v>4.2999999999999997E-2</v>
      </c>
      <c r="I95" s="630" t="s">
        <v>247</v>
      </c>
      <c r="J95" s="628">
        <v>10550</v>
      </c>
      <c r="K95" s="628"/>
      <c r="L95" s="599"/>
      <c r="M95" s="600">
        <f>IF(Table1351452010[[#This Row],[หัก ณ ที่จ่าย
(ค่าบริการ)]]="มี",Table1351452010[[#This Row],[ค่าบริการเฉลี่ยต่อเดือน]]*3%,0)</f>
        <v>0</v>
      </c>
      <c r="N95" s="552">
        <f>(Table1351452010[[#This Row],[ค่าบริการเฉลี่ยต่อเดือน]]-Table1351452010[[#This Row],[ต้นทุนช่องรายการ
(ถ้ามี)]]-Table1351452010[[#This Row],[มูลค่าหัก 3%]])</f>
        <v>10550</v>
      </c>
      <c r="O9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10887.599999999999</v>
      </c>
      <c r="P95" s="761">
        <f>Table1351452010[[#This Row],[ระยะเวลาสัญญา
(เดือน)]]/$P$5</f>
        <v>2</v>
      </c>
      <c r="Q95" s="765">
        <f>Table1351452010[[#This Row],[Total
รายการเบิก
คอมขาย
(1)]]/2</f>
        <v>5443.7999999999993</v>
      </c>
      <c r="R95" s="766">
        <v>5443.8</v>
      </c>
      <c r="S95" s="766"/>
      <c r="T95" s="766"/>
      <c r="U95" s="764"/>
      <c r="V95" s="629">
        <v>0</v>
      </c>
      <c r="W95" s="601"/>
      <c r="X95" s="602">
        <f>IF(Table1351452010[[#This Row],[หัก ณ ที่จ่าย
(ค่าติตั้ง)]]="มี",Table1351452010[[#This Row],[ค่าเชื่อมสัญญาณ/
ค่าติดตั้ง/
ค่าขายอุปกรณ์]]*$X$4,0)</f>
        <v>0</v>
      </c>
      <c r="Y95" s="397">
        <f>Table1351452010[[#This Row],[ค่าเชื่อมสัญญาณ/
ค่าติดตั้ง/
ค่าขายอุปกรณ์]]-Table1351452010[[#This Row],[มูลค่าหัก 3%
(ค่าติดตั้ง)]]</f>
        <v>0</v>
      </c>
      <c r="Z95" s="331">
        <v>0</v>
      </c>
      <c r="AA95" s="646">
        <f>Table1351452010[[#This Row],[ค่าเชื่อมสัญญาณ/
ค่าติดตั้ง/
ค่าขายอุปกรณ์
(เรียกเก็บสุทธิ)]]-Table1351452010[[#This Row],[ต้นทุน]]</f>
        <v>0</v>
      </c>
      <c r="AB95" s="789" t="str">
        <f>IF(Table1351452010[[#This Row],[ส่วนต่างกำไร]]&lt;(Table1351452010[[#This Row],[ต้นทุน]]*5%),Table1351452010[[#This Row],[ค่าเชื่อมสัญญาณ/
ค่าติดตั้ง/
ค่าขายอุปกรณ์
(เรียกเก็บสุทธิ)]]*$AB$3,"0")</f>
        <v>0</v>
      </c>
      <c r="AC95" s="789">
        <f>IF(Table1351452010[[#This Row],[ส่วนต่างกำไร]]&gt;=(Table1351452010[[#This Row],[ต้นทุน]]*5%),Table1351452010[[#This Row],[ค่าเชื่อมสัญญาณ/
ค่าติดตั้ง/
ค่าขายอุปกรณ์
(เรียกเก็บสุทธิ)]]*$AC$3,"0")</f>
        <v>0</v>
      </c>
      <c r="AD95" s="619">
        <f>SUM(Table1351452010[[#This Row],[คอมฯ
 5%]:[คอมฯ
10%]])</f>
        <v>0</v>
      </c>
      <c r="AE95" s="631">
        <v>0</v>
      </c>
      <c r="AF95" s="601"/>
      <c r="AG95" s="623">
        <f>IF(Table1351452010[[#This Row],[หัก ณ ที่จ่าย
(ค่าเชื่อมสัญญาณ)]]="มี",Table1351452010[[#This Row],[ค่าเชื่อมสัญญาณ]]*$AG$4,0)</f>
        <v>0</v>
      </c>
      <c r="AH95" s="398">
        <f>Table1351452010[[#This Row],[ค่าเชื่อมสัญญาณ]]-Table1351452010[[#This Row],[มูลค่าหัก 3%
(ค่าเชื่อมสัญญาณ)]]</f>
        <v>0</v>
      </c>
      <c r="AI95" s="403">
        <f>Table1351452010[[#This Row],[ค่าเชื่อมสัญญาณ
(เรียกเก็บสุทธิ)]]*$AI$3</f>
        <v>0</v>
      </c>
      <c r="AJ95" s="554">
        <f>Table1351452010[[#This Row],[สั่งจ่ายปีที่1]]+Table1351452010[[#This Row],[Total
ค่าเชื่มสัญญาณ/ค่าติดตั้ง/
ค่าขายอุปกรณ์
(2)]]+Table1351452010[[#This Row],[Total 
คอมฯค่าเชื่อมสัญญาณ
(3)]]</f>
        <v>5443.7999999999993</v>
      </c>
      <c r="AK95" s="555"/>
      <c r="AL95" s="555"/>
      <c r="AM95" s="556"/>
      <c r="AN95" s="680" t="s">
        <v>246</v>
      </c>
    </row>
    <row r="96" spans="1:40" s="584" customFormat="1" ht="27" customHeight="1">
      <c r="A96" s="557"/>
      <c r="B96" s="560"/>
      <c r="C96" s="558"/>
      <c r="D96" s="673"/>
      <c r="E96" s="559"/>
      <c r="F96" s="559"/>
      <c r="G96" s="585"/>
      <c r="H96" s="651"/>
      <c r="I96" s="561"/>
      <c r="J96" s="559"/>
      <c r="K96" s="559"/>
      <c r="L96" s="562"/>
      <c r="M96" s="562"/>
      <c r="N96" s="563"/>
      <c r="O96" s="564"/>
      <c r="P96" s="565"/>
      <c r="Q96" s="664"/>
      <c r="R96" s="665"/>
      <c r="S96" s="665"/>
      <c r="T96" s="665"/>
      <c r="U96" s="666"/>
      <c r="V96" s="392"/>
      <c r="W96" s="410"/>
      <c r="X96" s="412"/>
      <c r="Y96" s="390"/>
      <c r="Z96" s="393"/>
      <c r="AA96" s="647" t="e">
        <f t="shared" ref="AA96" si="22">AA95/Z95</f>
        <v>#DIV/0!</v>
      </c>
      <c r="AB96" s="596"/>
      <c r="AC96" s="596"/>
      <c r="AD96" s="620"/>
      <c r="AE96" s="407"/>
      <c r="AF96" s="410"/>
      <c r="AG96" s="410"/>
      <c r="AH96" s="394"/>
      <c r="AI96" s="404"/>
      <c r="AJ96" s="566"/>
      <c r="AK96" s="567"/>
      <c r="AL96" s="567"/>
      <c r="AM96" s="568"/>
      <c r="AN96" s="681"/>
    </row>
    <row r="97" spans="1:40" s="584" customFormat="1" ht="27" customHeight="1">
      <c r="A97" s="557"/>
      <c r="B97" s="560"/>
      <c r="C97" s="557"/>
      <c r="D97" s="674"/>
      <c r="E97" s="569"/>
      <c r="F97" s="569"/>
      <c r="G97" s="585"/>
      <c r="H97" s="651"/>
      <c r="I97" s="561"/>
      <c r="J97" s="559"/>
      <c r="K97" s="559"/>
      <c r="L97" s="562"/>
      <c r="M97" s="562"/>
      <c r="N97" s="559"/>
      <c r="O97" s="570"/>
      <c r="P97" s="571"/>
      <c r="Q97" s="667"/>
      <c r="R97" s="668"/>
      <c r="S97" s="668"/>
      <c r="T97" s="668"/>
      <c r="U97" s="669"/>
      <c r="V97" s="392"/>
      <c r="W97" s="410"/>
      <c r="X97" s="412"/>
      <c r="Y97" s="390"/>
      <c r="Z97" s="393"/>
      <c r="AA97" s="393"/>
      <c r="AB97" s="596"/>
      <c r="AC97" s="596"/>
      <c r="AD97" s="621"/>
      <c r="AE97" s="408"/>
      <c r="AF97" s="410"/>
      <c r="AG97" s="410"/>
      <c r="AH97" s="394"/>
      <c r="AI97" s="404"/>
      <c r="AJ97" s="566"/>
      <c r="AK97" s="567"/>
      <c r="AL97" s="567"/>
      <c r="AM97" s="568"/>
      <c r="AN97" s="681"/>
    </row>
    <row r="98" spans="1:40" s="584" customFormat="1" ht="27" customHeight="1" thickBot="1">
      <c r="A98" s="572"/>
      <c r="B98" s="574"/>
      <c r="C98" s="572"/>
      <c r="D98" s="675"/>
      <c r="E98" s="573"/>
      <c r="F98" s="573"/>
      <c r="G98" s="575"/>
      <c r="H98" s="652"/>
      <c r="I98" s="576"/>
      <c r="J98" s="577"/>
      <c r="K98" s="577"/>
      <c r="L98" s="578"/>
      <c r="M98" s="578"/>
      <c r="N98" s="577"/>
      <c r="O98" s="579"/>
      <c r="P98" s="580"/>
      <c r="Q98" s="670"/>
      <c r="R98" s="671"/>
      <c r="S98" s="671"/>
      <c r="T98" s="671"/>
      <c r="U98" s="671"/>
      <c r="V98" s="395"/>
      <c r="W98" s="411"/>
      <c r="X98" s="413"/>
      <c r="Y98" s="391"/>
      <c r="Z98" s="389"/>
      <c r="AA98" s="648"/>
      <c r="AB98" s="597"/>
      <c r="AC98" s="597"/>
      <c r="AD98" s="622"/>
      <c r="AE98" s="409"/>
      <c r="AF98" s="411"/>
      <c r="AG98" s="411"/>
      <c r="AH98" s="396"/>
      <c r="AI98" s="405"/>
      <c r="AJ98" s="581"/>
      <c r="AK98" s="582"/>
      <c r="AL98" s="582"/>
      <c r="AM98" s="583"/>
      <c r="AN98" s="682"/>
    </row>
    <row r="99" spans="1:40" s="584" customFormat="1" ht="27" customHeight="1">
      <c r="A99" s="624">
        <v>24</v>
      </c>
      <c r="B99" s="770">
        <v>45627</v>
      </c>
      <c r="C99" s="625">
        <v>120000069170</v>
      </c>
      <c r="D99" s="672" t="s">
        <v>240</v>
      </c>
      <c r="E99" s="626" t="s">
        <v>73</v>
      </c>
      <c r="F99" s="626" t="s">
        <v>46</v>
      </c>
      <c r="G99" s="627">
        <v>24</v>
      </c>
      <c r="H99" s="768">
        <v>4.2999999999999997E-2</v>
      </c>
      <c r="I99" s="630">
        <v>45689</v>
      </c>
      <c r="J99" s="628">
        <v>14100</v>
      </c>
      <c r="K99" s="628"/>
      <c r="L99" s="599"/>
      <c r="M99" s="600">
        <f>IF(Table1351452010[[#This Row],[หัก ณ ที่จ่าย
(ค่าบริการ)]]="มี",Table1351452010[[#This Row],[ค่าบริการเฉลี่ยต่อเดือน]]*3%,0)</f>
        <v>0</v>
      </c>
      <c r="N99" s="552">
        <f>(Table1351452010[[#This Row],[ค่าบริการเฉลี่ยต่อเดือน]]-Table1351452010[[#This Row],[ต้นทุนช่องรายการ
(ถ้ามี)]]-Table1351452010[[#This Row],[มูลค่าหัก 3%]])</f>
        <v>14100</v>
      </c>
      <c r="O9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14551.199999999999</v>
      </c>
      <c r="P99" s="761">
        <f>Table1351452010[[#This Row],[ระยะเวลาสัญญา
(เดือน)]]/$P$5</f>
        <v>2</v>
      </c>
      <c r="Q99" s="765">
        <f>Table1351452010[[#This Row],[Total
รายการเบิก
คอมขาย
(1)]]/2</f>
        <v>7275.5999999999995</v>
      </c>
      <c r="R99" s="766">
        <v>7275.6</v>
      </c>
      <c r="S99" s="766"/>
      <c r="T99" s="766"/>
      <c r="U99" s="764"/>
      <c r="V99" s="629">
        <v>50000</v>
      </c>
      <c r="W99" s="601"/>
      <c r="X99" s="602">
        <f>IF(Table1351452010[[#This Row],[หัก ณ ที่จ่าย
(ค่าติตั้ง)]]="มี",Table1351452010[[#This Row],[ค่าเชื่อมสัญญาณ/
ค่าติดตั้ง/
ค่าขายอุปกรณ์]]*$X$4,0)</f>
        <v>0</v>
      </c>
      <c r="Y99" s="658">
        <f>Table1351452010[[#This Row],[ค่าเชื่อมสัญญาณ/
ค่าติดตั้ง/
ค่าขายอุปกรณ์]]-Table1351452010[[#This Row],[มูลค่าหัก 3%
(ค่าติดตั้ง)]]</f>
        <v>50000</v>
      </c>
      <c r="Z99" s="659">
        <v>169755.46</v>
      </c>
      <c r="AA99" s="646">
        <f>Table1351452010[[#This Row],[ค่าเชื่อมสัญญาณ/
ค่าติดตั้ง/
ค่าขายอุปกรณ์
(เรียกเก็บสุทธิ)]]-Table1351452010[[#This Row],[ต้นทุน]]</f>
        <v>-119755.45999999999</v>
      </c>
      <c r="AB99" s="789">
        <f>IF(Table1351452010[[#This Row],[ส่วนต่างกำไร]]&lt;(Table1351452010[[#This Row],[ต้นทุน]]*5%),Table1351452010[[#This Row],[ค่าเชื่อมสัญญาณ/
ค่าติดตั้ง/
ค่าขายอุปกรณ์
(เรียกเก็บสุทธิ)]]*$AB$3,"0")</f>
        <v>2500</v>
      </c>
      <c r="AC99" s="789" t="str">
        <f>IF(Table1351452010[[#This Row],[ส่วนต่างกำไร]]&gt;=(Table1351452010[[#This Row],[ต้นทุน]]*5%),Table1351452010[[#This Row],[ค่าเชื่อมสัญญาณ/
ค่าติดตั้ง/
ค่าขายอุปกรณ์
(เรียกเก็บสุทธิ)]]*$AC$3,"0")</f>
        <v>0</v>
      </c>
      <c r="AD99" s="619">
        <f>SUM(Table1351452010[[#This Row],[คอมฯ
 5%]:[คอมฯ
10%]])</f>
        <v>2500</v>
      </c>
      <c r="AE99" s="631">
        <v>0</v>
      </c>
      <c r="AF99" s="601"/>
      <c r="AG99" s="623">
        <f>IF(Table1351452010[[#This Row],[หัก ณ ที่จ่าย
(ค่าเชื่อมสัญญาณ)]]="มี",Table1351452010[[#This Row],[ค่าเชื่อมสัญญาณ]]*$AG$4,0)</f>
        <v>0</v>
      </c>
      <c r="AH99" s="398">
        <f>Table1351452010[[#This Row],[ค่าเชื่อมสัญญาณ]]-Table1351452010[[#This Row],[มูลค่าหัก 3%
(ค่าเชื่อมสัญญาณ)]]</f>
        <v>0</v>
      </c>
      <c r="AI99" s="403">
        <f>Table1351452010[[#This Row],[ค่าเชื่อมสัญญาณ
(เรียกเก็บสุทธิ)]]*$AI$3</f>
        <v>0</v>
      </c>
      <c r="AJ99" s="554">
        <f>Table1351452010[[#This Row],[สั่งจ่ายปีที่1]]+Table1351452010[[#This Row],[Total
ค่าเชื่มสัญญาณ/ค่าติดตั้ง/
ค่าขายอุปกรณ์
(2)]]+Table1351452010[[#This Row],[Total 
คอมฯค่าเชื่อมสัญญาณ
(3)]]</f>
        <v>9775.5999999999985</v>
      </c>
      <c r="AK99" s="555"/>
      <c r="AL99" s="555"/>
      <c r="AM99" s="556"/>
      <c r="AN99" s="680" t="s">
        <v>246</v>
      </c>
    </row>
    <row r="100" spans="1:40" s="584" customFormat="1" ht="27" customHeight="1">
      <c r="A100" s="557">
        <v>22.678571428571502</v>
      </c>
      <c r="B100" s="560"/>
      <c r="C100" s="558"/>
      <c r="D100" s="673"/>
      <c r="E100" s="559"/>
      <c r="F100" s="559"/>
      <c r="G100" s="585"/>
      <c r="H100" s="651"/>
      <c r="I100" s="561"/>
      <c r="J100" s="559"/>
      <c r="K100" s="559"/>
      <c r="L100" s="562"/>
      <c r="M100" s="562"/>
      <c r="N100" s="563"/>
      <c r="O100" s="564"/>
      <c r="P100" s="565"/>
      <c r="Q100" s="664"/>
      <c r="R100" s="665"/>
      <c r="S100" s="665"/>
      <c r="T100" s="665"/>
      <c r="U100" s="666"/>
      <c r="V100" s="392"/>
      <c r="W100" s="410"/>
      <c r="X100" s="412"/>
      <c r="Y100" s="390"/>
      <c r="Z100" s="393"/>
      <c r="AA100" s="647">
        <f t="shared" ref="AA100" si="23">AA99/Z99</f>
        <v>-0.70545866389216583</v>
      </c>
      <c r="AB100" s="596"/>
      <c r="AC100" s="596"/>
      <c r="AD100" s="620"/>
      <c r="AE100" s="407"/>
      <c r="AF100" s="410"/>
      <c r="AG100" s="410"/>
      <c r="AH100" s="394"/>
      <c r="AI100" s="404"/>
      <c r="AJ100" s="566"/>
      <c r="AK100" s="567"/>
      <c r="AL100" s="567"/>
      <c r="AM100" s="568"/>
      <c r="AN100" s="681"/>
    </row>
    <row r="101" spans="1:40" s="584" customFormat="1" ht="27" customHeight="1">
      <c r="A101" s="557">
        <v>23.8857142857143</v>
      </c>
      <c r="B101" s="560"/>
      <c r="C101" s="557"/>
      <c r="D101" s="674"/>
      <c r="E101" s="569"/>
      <c r="F101" s="569"/>
      <c r="G101" s="585"/>
      <c r="H101" s="651"/>
      <c r="I101" s="561"/>
      <c r="J101" s="559"/>
      <c r="K101" s="559"/>
      <c r="L101" s="562"/>
      <c r="M101" s="562"/>
      <c r="N101" s="559"/>
      <c r="O101" s="570"/>
      <c r="P101" s="571"/>
      <c r="Q101" s="667"/>
      <c r="R101" s="668"/>
      <c r="S101" s="668"/>
      <c r="T101" s="668"/>
      <c r="U101" s="669"/>
      <c r="V101" s="392"/>
      <c r="W101" s="410"/>
      <c r="X101" s="412"/>
      <c r="Y101" s="390"/>
      <c r="Z101" s="393"/>
      <c r="AA101" s="393"/>
      <c r="AB101" s="596"/>
      <c r="AC101" s="596"/>
      <c r="AD101" s="621"/>
      <c r="AE101" s="408"/>
      <c r="AF101" s="410"/>
      <c r="AG101" s="410"/>
      <c r="AH101" s="394"/>
      <c r="AI101" s="404"/>
      <c r="AJ101" s="566"/>
      <c r="AK101" s="567"/>
      <c r="AL101" s="567"/>
      <c r="AM101" s="568"/>
      <c r="AN101" s="681"/>
    </row>
    <row r="102" spans="1:40" s="584" customFormat="1" ht="27" customHeight="1" thickBot="1">
      <c r="A102" s="572">
        <v>25.092857142857198</v>
      </c>
      <c r="B102" s="574"/>
      <c r="C102" s="572"/>
      <c r="D102" s="675"/>
      <c r="E102" s="573"/>
      <c r="F102" s="573"/>
      <c r="G102" s="575"/>
      <c r="H102" s="652"/>
      <c r="I102" s="576"/>
      <c r="J102" s="577"/>
      <c r="K102" s="577"/>
      <c r="L102" s="578"/>
      <c r="M102" s="578"/>
      <c r="N102" s="577"/>
      <c r="O102" s="579"/>
      <c r="P102" s="580"/>
      <c r="Q102" s="670"/>
      <c r="R102" s="671"/>
      <c r="S102" s="671"/>
      <c r="T102" s="671"/>
      <c r="U102" s="671"/>
      <c r="V102" s="395"/>
      <c r="W102" s="411"/>
      <c r="X102" s="413"/>
      <c r="Y102" s="661"/>
      <c r="Z102" s="648"/>
      <c r="AA102" s="648"/>
      <c r="AB102" s="597"/>
      <c r="AC102" s="597"/>
      <c r="AD102" s="622"/>
      <c r="AE102" s="409"/>
      <c r="AF102" s="411"/>
      <c r="AG102" s="411"/>
      <c r="AH102" s="396"/>
      <c r="AI102" s="405"/>
      <c r="AJ102" s="581"/>
      <c r="AK102" s="582"/>
      <c r="AL102" s="582"/>
      <c r="AM102" s="583"/>
      <c r="AN102" s="682"/>
    </row>
    <row r="103" spans="1:40" s="584" customFormat="1" ht="27" customHeight="1">
      <c r="A103" s="624">
        <v>25</v>
      </c>
      <c r="B103" s="770">
        <v>45627</v>
      </c>
      <c r="C103" s="625"/>
      <c r="D103" s="672" t="s">
        <v>241</v>
      </c>
      <c r="E103" s="626" t="s">
        <v>73</v>
      </c>
      <c r="F103" s="626" t="s">
        <v>45</v>
      </c>
      <c r="G103" s="627">
        <v>24</v>
      </c>
      <c r="H103" s="768">
        <v>4.2999999999999997E-2</v>
      </c>
      <c r="I103" s="630">
        <v>45658</v>
      </c>
      <c r="J103" s="628">
        <v>16100</v>
      </c>
      <c r="K103" s="628"/>
      <c r="L103" s="599"/>
      <c r="M103" s="600">
        <f>IF(Table1351452010[[#This Row],[หัก ณ ที่จ่าย
(ค่าบริการ)]]="มี",Table1351452010[[#This Row],[ค่าบริการเฉลี่ยต่อเดือน]]*3%,0)</f>
        <v>0</v>
      </c>
      <c r="N103" s="552">
        <f>(Table1351452010[[#This Row],[ค่าบริการเฉลี่ยต่อเดือน]]-Table1351452010[[#This Row],[ต้นทุนช่องรายการ
(ถ้ามี)]]-Table1351452010[[#This Row],[มูลค่าหัก 3%]])</f>
        <v>16100</v>
      </c>
      <c r="O10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16615.199999999997</v>
      </c>
      <c r="P103" s="761">
        <f>Table1351452010[[#This Row],[ระยะเวลาสัญญา
(เดือน)]]/$P$5</f>
        <v>2</v>
      </c>
      <c r="Q103" s="765">
        <f>Table1351452010[[#This Row],[Total
รายการเบิก
คอมขาย
(1)]]/2</f>
        <v>8307.5999999999985</v>
      </c>
      <c r="R103" s="766">
        <v>8307.6</v>
      </c>
      <c r="S103" s="766"/>
      <c r="T103" s="766"/>
      <c r="U103" s="764"/>
      <c r="V103" s="629">
        <v>70000</v>
      </c>
      <c r="W103" s="601"/>
      <c r="X103" s="602">
        <f>IF(Table1351452010[[#This Row],[หัก ณ ที่จ่าย
(ค่าติตั้ง)]]="มี",Table1351452010[[#This Row],[ค่าเชื่อมสัญญาณ/
ค่าติดตั้ง/
ค่าขายอุปกรณ์]]*$X$4,0)</f>
        <v>0</v>
      </c>
      <c r="Y103" s="658">
        <f>Table1351452010[[#This Row],[ค่าเชื่อมสัญญาณ/
ค่าติดตั้ง/
ค่าขายอุปกรณ์]]-Table1351452010[[#This Row],[มูลค่าหัก 3%
(ค่าติดตั้ง)]]</f>
        <v>70000</v>
      </c>
      <c r="Z103" s="659">
        <v>90566</v>
      </c>
      <c r="AA103" s="646">
        <f>Table1351452010[[#This Row],[ค่าเชื่อมสัญญาณ/
ค่าติดตั้ง/
ค่าขายอุปกรณ์
(เรียกเก็บสุทธิ)]]-Table1351452010[[#This Row],[ต้นทุน]]</f>
        <v>-20566</v>
      </c>
      <c r="AB103" s="789">
        <f>IF(Table1351452010[[#This Row],[ส่วนต่างกำไร]]&lt;(Table1351452010[[#This Row],[ต้นทุน]]*5%),Table1351452010[[#This Row],[ค่าเชื่อมสัญญาณ/
ค่าติดตั้ง/
ค่าขายอุปกรณ์
(เรียกเก็บสุทธิ)]]*$AB$3,"0")</f>
        <v>3500</v>
      </c>
      <c r="AC103" s="789" t="str">
        <f>IF(Table1351452010[[#This Row],[ส่วนต่างกำไร]]&gt;=(Table1351452010[[#This Row],[ต้นทุน]]*5%),Table1351452010[[#This Row],[ค่าเชื่อมสัญญาณ/
ค่าติดตั้ง/
ค่าขายอุปกรณ์
(เรียกเก็บสุทธิ)]]*$AC$3,"0")</f>
        <v>0</v>
      </c>
      <c r="AD103" s="619">
        <f>SUM(Table1351452010[[#This Row],[คอมฯ
 5%]:[คอมฯ
10%]])</f>
        <v>3500</v>
      </c>
      <c r="AE103" s="631">
        <v>0</v>
      </c>
      <c r="AF103" s="601"/>
      <c r="AG103" s="623">
        <f>IF(Table1351452010[[#This Row],[หัก ณ ที่จ่าย
(ค่าเชื่อมสัญญาณ)]]="มี",Table1351452010[[#This Row],[ค่าเชื่อมสัญญาณ]]*$AG$4,0)</f>
        <v>0</v>
      </c>
      <c r="AH103" s="398">
        <f>Table1351452010[[#This Row],[ค่าเชื่อมสัญญาณ]]-Table1351452010[[#This Row],[มูลค่าหัก 3%
(ค่าเชื่อมสัญญาณ)]]</f>
        <v>0</v>
      </c>
      <c r="AI103" s="403">
        <f>Table1351452010[[#This Row],[ค่าเชื่อมสัญญาณ
(เรียกเก็บสุทธิ)]]*$AI$3</f>
        <v>0</v>
      </c>
      <c r="AJ103" s="554">
        <f>Table1351452010[[#This Row],[สั่งจ่ายปีที่1]]+Table1351452010[[#This Row],[Total
ค่าเชื่มสัญญาณ/ค่าติดตั้ง/
ค่าขายอุปกรณ์
(2)]]+Table1351452010[[#This Row],[Total 
คอมฯค่าเชื่อมสัญญาณ
(3)]]</f>
        <v>11807.599999999999</v>
      </c>
      <c r="AK103" s="555"/>
      <c r="AL103" s="555"/>
      <c r="AM103" s="556"/>
      <c r="AN103" s="680" t="s">
        <v>246</v>
      </c>
    </row>
    <row r="104" spans="1:40" s="584" customFormat="1" ht="27" customHeight="1">
      <c r="A104" s="557">
        <v>22.678571428571502</v>
      </c>
      <c r="B104" s="660"/>
      <c r="C104" s="558"/>
      <c r="D104" s="673"/>
      <c r="E104" s="559"/>
      <c r="F104" s="559"/>
      <c r="G104" s="585"/>
      <c r="H104" s="651"/>
      <c r="I104" s="561"/>
      <c r="J104" s="559"/>
      <c r="K104" s="559"/>
      <c r="L104" s="562"/>
      <c r="M104" s="562"/>
      <c r="N104" s="563"/>
      <c r="O104" s="564"/>
      <c r="P104" s="565"/>
      <c r="Q104" s="664"/>
      <c r="R104" s="665"/>
      <c r="S104" s="665"/>
      <c r="T104" s="665"/>
      <c r="U104" s="666"/>
      <c r="V104" s="392"/>
      <c r="W104" s="410"/>
      <c r="X104" s="412"/>
      <c r="Y104" s="390"/>
      <c r="Z104" s="393"/>
      <c r="AA104" s="647">
        <f t="shared" ref="AA104" si="24">AA103/Z103</f>
        <v>-0.22708301128458805</v>
      </c>
      <c r="AB104" s="596"/>
      <c r="AC104" s="596"/>
      <c r="AD104" s="620"/>
      <c r="AE104" s="407"/>
      <c r="AF104" s="410"/>
      <c r="AG104" s="410"/>
      <c r="AH104" s="394"/>
      <c r="AI104" s="404"/>
      <c r="AJ104" s="566"/>
      <c r="AK104" s="567"/>
      <c r="AL104" s="567"/>
      <c r="AM104" s="568"/>
      <c r="AN104" s="681"/>
    </row>
    <row r="105" spans="1:40" s="584" customFormat="1" ht="27" customHeight="1">
      <c r="A105" s="557">
        <v>23.8857142857143</v>
      </c>
      <c r="B105" s="560"/>
      <c r="C105" s="557"/>
      <c r="D105" s="674"/>
      <c r="E105" s="569"/>
      <c r="F105" s="569"/>
      <c r="G105" s="585"/>
      <c r="H105" s="651"/>
      <c r="I105" s="561"/>
      <c r="J105" s="559"/>
      <c r="K105" s="559"/>
      <c r="L105" s="562"/>
      <c r="M105" s="562"/>
      <c r="N105" s="559"/>
      <c r="O105" s="570"/>
      <c r="P105" s="571"/>
      <c r="Q105" s="667"/>
      <c r="R105" s="668"/>
      <c r="S105" s="668"/>
      <c r="T105" s="668"/>
      <c r="U105" s="669"/>
      <c r="V105" s="392"/>
      <c r="W105" s="410"/>
      <c r="X105" s="412"/>
      <c r="Y105" s="390"/>
      <c r="Z105" s="393"/>
      <c r="AA105" s="393"/>
      <c r="AB105" s="596"/>
      <c r="AC105" s="596"/>
      <c r="AD105" s="621"/>
      <c r="AE105" s="408"/>
      <c r="AF105" s="410"/>
      <c r="AG105" s="410"/>
      <c r="AH105" s="394"/>
      <c r="AI105" s="404"/>
      <c r="AJ105" s="566"/>
      <c r="AK105" s="567"/>
      <c r="AL105" s="567"/>
      <c r="AM105" s="568"/>
      <c r="AN105" s="681"/>
    </row>
    <row r="106" spans="1:40" s="584" customFormat="1" ht="27" customHeight="1" thickBot="1">
      <c r="A106" s="572">
        <v>25.092857142857198</v>
      </c>
      <c r="B106" s="574"/>
      <c r="C106" s="572"/>
      <c r="D106" s="675"/>
      <c r="E106" s="573"/>
      <c r="F106" s="573"/>
      <c r="G106" s="575"/>
      <c r="H106" s="652"/>
      <c r="I106" s="576"/>
      <c r="J106" s="577"/>
      <c r="K106" s="577"/>
      <c r="L106" s="578"/>
      <c r="M106" s="578"/>
      <c r="N106" s="577"/>
      <c r="O106" s="579"/>
      <c r="P106" s="580"/>
      <c r="Q106" s="670"/>
      <c r="R106" s="671"/>
      <c r="S106" s="671"/>
      <c r="T106" s="671"/>
      <c r="U106" s="671"/>
      <c r="V106" s="395"/>
      <c r="W106" s="411"/>
      <c r="X106" s="413"/>
      <c r="Y106" s="661"/>
      <c r="Z106" s="648"/>
      <c r="AA106" s="648"/>
      <c r="AB106" s="597"/>
      <c r="AC106" s="597"/>
      <c r="AD106" s="622"/>
      <c r="AE106" s="409"/>
      <c r="AF106" s="411"/>
      <c r="AG106" s="411"/>
      <c r="AH106" s="396"/>
      <c r="AI106" s="405"/>
      <c r="AJ106" s="581"/>
      <c r="AK106" s="582"/>
      <c r="AL106" s="582"/>
      <c r="AM106" s="583"/>
      <c r="AN106" s="682"/>
    </row>
    <row r="107" spans="1:40" s="584" customFormat="1" ht="27" customHeight="1">
      <c r="A107" s="624">
        <v>26</v>
      </c>
      <c r="B107" s="770">
        <v>45627</v>
      </c>
      <c r="C107" s="625"/>
      <c r="D107" s="672" t="s">
        <v>242</v>
      </c>
      <c r="E107" s="626" t="s">
        <v>74</v>
      </c>
      <c r="F107" s="626" t="s">
        <v>45</v>
      </c>
      <c r="G107" s="627">
        <v>12</v>
      </c>
      <c r="H107" s="768">
        <v>4.2999999999999997E-2</v>
      </c>
      <c r="I107" s="630" t="s">
        <v>247</v>
      </c>
      <c r="J107" s="628">
        <v>0</v>
      </c>
      <c r="K107" s="628"/>
      <c r="L107" s="599"/>
      <c r="M107" s="600">
        <f>IF(Table1351452010[[#This Row],[หัก ณ ที่จ่าย
(ค่าบริการ)]]="มี",Table1351452010[[#This Row],[ค่าบริการเฉลี่ยต่อเดือน]]*3%,0)</f>
        <v>0</v>
      </c>
      <c r="N107" s="552">
        <f>(Table1351452010[[#This Row],[ค่าบริการเฉลี่ยต่อเดือน]]-Table1351452010[[#This Row],[ต้นทุนช่องรายการ
(ถ้ามี)]]-Table1351452010[[#This Row],[มูลค่าหัก 3%]])</f>
        <v>0</v>
      </c>
      <c r="O10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07" s="761">
        <f>Table1351452010[[#This Row],[ระยะเวลาสัญญา
(เดือน)]]/$P$5</f>
        <v>1</v>
      </c>
      <c r="Q107" s="765"/>
      <c r="R107" s="766"/>
      <c r="S107" s="766"/>
      <c r="T107" s="766"/>
      <c r="U107" s="764"/>
      <c r="V107" s="629">
        <v>15000</v>
      </c>
      <c r="W107" s="601"/>
      <c r="X107" s="602">
        <f>IF(Table1351452010[[#This Row],[หัก ณ ที่จ่าย
(ค่าติตั้ง)]]="มี",Table1351452010[[#This Row],[ค่าเชื่อมสัญญาณ/
ค่าติดตั้ง/
ค่าขายอุปกรณ์]]*$X$4,0)</f>
        <v>0</v>
      </c>
      <c r="Y107" s="658">
        <f>Table1351452010[[#This Row],[ค่าเชื่อมสัญญาณ/
ค่าติดตั้ง/
ค่าขายอุปกรณ์]]-Table1351452010[[#This Row],[มูลค่าหัก 3%
(ค่าติดตั้ง)]]</f>
        <v>15000</v>
      </c>
      <c r="Z107" s="659">
        <v>5800</v>
      </c>
      <c r="AA107" s="646">
        <f>Table1351452010[[#This Row],[ค่าเชื่อมสัญญาณ/
ค่าติดตั้ง/
ค่าขายอุปกรณ์
(เรียกเก็บสุทธิ)]]-Table1351452010[[#This Row],[ต้นทุน]]</f>
        <v>9200</v>
      </c>
      <c r="AB107" s="789" t="str">
        <f>IF(Table1351452010[[#This Row],[ส่วนต่างกำไร]]&lt;(Table1351452010[[#This Row],[ต้นทุน]]*5%),Table1351452010[[#This Row],[ค่าเชื่อมสัญญาณ/
ค่าติดตั้ง/
ค่าขายอุปกรณ์
(เรียกเก็บสุทธิ)]]*$AB$3,"0")</f>
        <v>0</v>
      </c>
      <c r="AC107" s="789">
        <f>IF(Table1351452010[[#This Row],[ส่วนต่างกำไร]]&gt;=(Table1351452010[[#This Row],[ต้นทุน]]*5%),Table1351452010[[#This Row],[ค่าเชื่อมสัญญาณ/
ค่าติดตั้ง/
ค่าขายอุปกรณ์
(เรียกเก็บสุทธิ)]]*$AC$3,"0")</f>
        <v>1500</v>
      </c>
      <c r="AD107" s="619">
        <f>SUM(Table1351452010[[#This Row],[คอมฯ
 5%]:[คอมฯ
10%]])</f>
        <v>1500</v>
      </c>
      <c r="AE107" s="631">
        <v>0</v>
      </c>
      <c r="AF107" s="601"/>
      <c r="AG107" s="623">
        <f>IF(Table1351452010[[#This Row],[หัก ณ ที่จ่าย
(ค่าเชื่อมสัญญาณ)]]="มี",Table1351452010[[#This Row],[ค่าเชื่อมสัญญาณ]]*$AG$4,0)</f>
        <v>0</v>
      </c>
      <c r="AH107" s="398">
        <f>Table1351452010[[#This Row],[ค่าเชื่อมสัญญาณ]]-Table1351452010[[#This Row],[มูลค่าหัก 3%
(ค่าเชื่อมสัญญาณ)]]</f>
        <v>0</v>
      </c>
      <c r="AI107" s="403">
        <f>Table1351452010[[#This Row],[ค่าเชื่อมสัญญาณ
(เรียกเก็บสุทธิ)]]*$AI$3</f>
        <v>0</v>
      </c>
      <c r="AJ107" s="554">
        <f>Table1351452010[[#This Row],[สั่งจ่ายปีที่1]]+Table1351452010[[#This Row],[Total
ค่าเชื่มสัญญาณ/ค่าติดตั้ง/
ค่าขายอุปกรณ์
(2)]]+Table1351452010[[#This Row],[Total 
คอมฯค่าเชื่อมสัญญาณ
(3)]]</f>
        <v>1500</v>
      </c>
      <c r="AK107" s="555"/>
      <c r="AL107" s="555"/>
      <c r="AM107" s="556"/>
      <c r="AN107" s="680" t="s">
        <v>246</v>
      </c>
    </row>
    <row r="108" spans="1:40" s="584" customFormat="1" ht="27" customHeight="1">
      <c r="A108" s="557">
        <v>22.678571428571502</v>
      </c>
      <c r="B108" s="560"/>
      <c r="C108" s="558"/>
      <c r="D108" s="673"/>
      <c r="E108" s="559"/>
      <c r="F108" s="559"/>
      <c r="G108" s="585"/>
      <c r="H108" s="651"/>
      <c r="I108" s="561"/>
      <c r="J108" s="559"/>
      <c r="K108" s="559"/>
      <c r="L108" s="562"/>
      <c r="M108" s="562"/>
      <c r="N108" s="563"/>
      <c r="O108" s="564"/>
      <c r="P108" s="565"/>
      <c r="Q108" s="664"/>
      <c r="R108" s="665"/>
      <c r="S108" s="665"/>
      <c r="T108" s="665"/>
      <c r="U108" s="666"/>
      <c r="V108" s="392"/>
      <c r="W108" s="410"/>
      <c r="X108" s="412"/>
      <c r="Y108" s="390"/>
      <c r="Z108" s="393"/>
      <c r="AA108" s="647">
        <f t="shared" ref="AA108" si="25">AA107/Z107</f>
        <v>1.5862068965517242</v>
      </c>
      <c r="AB108" s="596"/>
      <c r="AC108" s="596"/>
      <c r="AD108" s="620"/>
      <c r="AE108" s="407"/>
      <c r="AF108" s="410"/>
      <c r="AG108" s="410"/>
      <c r="AH108" s="394"/>
      <c r="AI108" s="404"/>
      <c r="AJ108" s="566"/>
      <c r="AK108" s="567"/>
      <c r="AL108" s="567"/>
      <c r="AM108" s="568"/>
      <c r="AN108" s="681"/>
    </row>
    <row r="109" spans="1:40" s="584" customFormat="1" ht="27" customHeight="1">
      <c r="A109" s="557">
        <v>23.8857142857143</v>
      </c>
      <c r="B109" s="560"/>
      <c r="C109" s="557"/>
      <c r="D109" s="674"/>
      <c r="E109" s="569"/>
      <c r="F109" s="569"/>
      <c r="G109" s="585"/>
      <c r="H109" s="651"/>
      <c r="I109" s="561"/>
      <c r="J109" s="559"/>
      <c r="K109" s="559"/>
      <c r="L109" s="562"/>
      <c r="M109" s="562"/>
      <c r="N109" s="559"/>
      <c r="O109" s="570"/>
      <c r="P109" s="571"/>
      <c r="Q109" s="667"/>
      <c r="R109" s="668"/>
      <c r="S109" s="668"/>
      <c r="T109" s="668"/>
      <c r="U109" s="669"/>
      <c r="V109" s="392"/>
      <c r="W109" s="410"/>
      <c r="X109" s="412"/>
      <c r="Y109" s="390"/>
      <c r="Z109" s="393"/>
      <c r="AA109" s="393"/>
      <c r="AB109" s="596"/>
      <c r="AC109" s="596"/>
      <c r="AD109" s="621"/>
      <c r="AE109" s="408"/>
      <c r="AF109" s="410"/>
      <c r="AG109" s="410"/>
      <c r="AH109" s="394"/>
      <c r="AI109" s="404"/>
      <c r="AJ109" s="566"/>
      <c r="AK109" s="567"/>
      <c r="AL109" s="567"/>
      <c r="AM109" s="568"/>
      <c r="AN109" s="681"/>
    </row>
    <row r="110" spans="1:40" s="584" customFormat="1" ht="27" customHeight="1" thickBot="1">
      <c r="A110" s="572">
        <v>25.092857142857198</v>
      </c>
      <c r="B110" s="574"/>
      <c r="C110" s="572"/>
      <c r="D110" s="675"/>
      <c r="E110" s="573"/>
      <c r="F110" s="573"/>
      <c r="G110" s="575"/>
      <c r="H110" s="652"/>
      <c r="I110" s="576"/>
      <c r="J110" s="577"/>
      <c r="K110" s="577"/>
      <c r="L110" s="578"/>
      <c r="M110" s="578"/>
      <c r="N110" s="577"/>
      <c r="O110" s="579"/>
      <c r="P110" s="580"/>
      <c r="Q110" s="670"/>
      <c r="R110" s="671"/>
      <c r="S110" s="671"/>
      <c r="T110" s="671"/>
      <c r="U110" s="671"/>
      <c r="V110" s="395"/>
      <c r="W110" s="411"/>
      <c r="X110" s="413"/>
      <c r="Y110" s="661"/>
      <c r="Z110" s="648"/>
      <c r="AA110" s="648"/>
      <c r="AB110" s="597"/>
      <c r="AC110" s="597"/>
      <c r="AD110" s="622"/>
      <c r="AE110" s="409"/>
      <c r="AF110" s="411"/>
      <c r="AG110" s="411"/>
      <c r="AH110" s="396"/>
      <c r="AI110" s="405"/>
      <c r="AJ110" s="581"/>
      <c r="AK110" s="582"/>
      <c r="AL110" s="582"/>
      <c r="AM110" s="583"/>
      <c r="AN110" s="682"/>
    </row>
    <row r="111" spans="1:40" s="584" customFormat="1" ht="27" customHeight="1">
      <c r="A111" s="624">
        <v>27</v>
      </c>
      <c r="B111" s="770">
        <v>45627</v>
      </c>
      <c r="C111" s="625"/>
      <c r="D111" s="672" t="s">
        <v>243</v>
      </c>
      <c r="E111" s="626" t="s">
        <v>75</v>
      </c>
      <c r="F111" s="626" t="s">
        <v>45</v>
      </c>
      <c r="G111" s="627">
        <v>36</v>
      </c>
      <c r="H111" s="768">
        <v>4.2999999999999997E-2</v>
      </c>
      <c r="I111" s="630" t="s">
        <v>247</v>
      </c>
      <c r="J111" s="628">
        <v>12700</v>
      </c>
      <c r="K111" s="628"/>
      <c r="L111" s="599"/>
      <c r="M111" s="600">
        <f>IF(Table1351452010[[#This Row],[หัก ณ ที่จ่าย
(ค่าบริการ)]]="มี",Table1351452010[[#This Row],[ค่าบริการเฉลี่ยต่อเดือน]]*3%,0)</f>
        <v>0</v>
      </c>
      <c r="N111" s="552">
        <f>(Table1351452010[[#This Row],[ค่าบริการเฉลี่ยต่อเดือน]]-Table1351452010[[#This Row],[ต้นทุนช่องรายการ
(ถ้ามี)]]-Table1351452010[[#This Row],[มูลค่าหัก 3%]])</f>
        <v>12700</v>
      </c>
      <c r="O11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19659.599999999999</v>
      </c>
      <c r="P111" s="761">
        <f>Table1351452010[[#This Row],[ระยะเวลาสัญญา
(เดือน)]]/$P$5</f>
        <v>3</v>
      </c>
      <c r="Q111" s="765">
        <f>Table1351452010[[#This Row],[Total
รายการเบิก
คอมขาย
(1)]]/3</f>
        <v>6553.2</v>
      </c>
      <c r="R111" s="766">
        <v>6553.2</v>
      </c>
      <c r="S111" s="766">
        <v>6553.2</v>
      </c>
      <c r="T111" s="766"/>
      <c r="U111" s="764"/>
      <c r="V111" s="629">
        <v>15000</v>
      </c>
      <c r="W111" s="601"/>
      <c r="X111" s="602">
        <f>IF(Table1351452010[[#This Row],[หัก ณ ที่จ่าย
(ค่าติตั้ง)]]="มี",Table1351452010[[#This Row],[ค่าเชื่อมสัญญาณ/
ค่าติดตั้ง/
ค่าขายอุปกรณ์]]*$X$4,0)</f>
        <v>0</v>
      </c>
      <c r="Y111" s="658">
        <f>Table1351452010[[#This Row],[ค่าเชื่อมสัญญาณ/
ค่าติดตั้ง/
ค่าขายอุปกรณ์]]-Table1351452010[[#This Row],[มูลค่าหัก 3%
(ค่าติดตั้ง)]]</f>
        <v>15000</v>
      </c>
      <c r="Z111" s="659">
        <v>58950.75</v>
      </c>
      <c r="AA111" s="646">
        <f>Table1351452010[[#This Row],[ค่าเชื่อมสัญญาณ/
ค่าติดตั้ง/
ค่าขายอุปกรณ์
(เรียกเก็บสุทธิ)]]-Table1351452010[[#This Row],[ต้นทุน]]</f>
        <v>-43950.75</v>
      </c>
      <c r="AB111" s="789">
        <f>IF(Table1351452010[[#This Row],[ส่วนต่างกำไร]]&lt;(Table1351452010[[#This Row],[ต้นทุน]]*5%),Table1351452010[[#This Row],[ค่าเชื่อมสัญญาณ/
ค่าติดตั้ง/
ค่าขายอุปกรณ์
(เรียกเก็บสุทธิ)]]*$AB$3,"0")</f>
        <v>750</v>
      </c>
      <c r="AC111" s="789" t="str">
        <f>IF(Table1351452010[[#This Row],[ส่วนต่างกำไร]]&gt;=(Table1351452010[[#This Row],[ต้นทุน]]*5%),Table1351452010[[#This Row],[ค่าเชื่อมสัญญาณ/
ค่าติดตั้ง/
ค่าขายอุปกรณ์
(เรียกเก็บสุทธิ)]]*$AC$3,"0")</f>
        <v>0</v>
      </c>
      <c r="AD111" s="619">
        <f>SUM(Table1351452010[[#This Row],[คอมฯ
 5%]:[คอมฯ
10%]])</f>
        <v>750</v>
      </c>
      <c r="AE111" s="631">
        <v>0</v>
      </c>
      <c r="AF111" s="601"/>
      <c r="AG111" s="623">
        <f>IF(Table1351452010[[#This Row],[หัก ณ ที่จ่าย
(ค่าเชื่อมสัญญาณ)]]="มี",Table1351452010[[#This Row],[ค่าเชื่อมสัญญาณ]]*$AG$4,0)</f>
        <v>0</v>
      </c>
      <c r="AH111" s="398">
        <f>Table1351452010[[#This Row],[ค่าเชื่อมสัญญาณ]]-Table1351452010[[#This Row],[มูลค่าหัก 3%
(ค่าเชื่อมสัญญาณ)]]</f>
        <v>0</v>
      </c>
      <c r="AI111" s="403">
        <f>Table1351452010[[#This Row],[ค่าเชื่อมสัญญาณ
(เรียกเก็บสุทธิ)]]*$AI$3</f>
        <v>0</v>
      </c>
      <c r="AJ111" s="554">
        <f>Table1351452010[[#This Row],[สั่งจ่ายปีที่1]]+Table1351452010[[#This Row],[Total
ค่าเชื่มสัญญาณ/ค่าติดตั้ง/
ค่าขายอุปกรณ์
(2)]]+Table1351452010[[#This Row],[Total 
คอมฯค่าเชื่อมสัญญาณ
(3)]]</f>
        <v>7303.2</v>
      </c>
      <c r="AK111" s="555"/>
      <c r="AL111" s="555"/>
      <c r="AM111" s="556"/>
      <c r="AN111" s="680" t="s">
        <v>246</v>
      </c>
    </row>
    <row r="112" spans="1:40" s="584" customFormat="1" ht="27" customHeight="1">
      <c r="A112" s="557">
        <v>27.507142857142899</v>
      </c>
      <c r="B112" s="560"/>
      <c r="C112" s="558"/>
      <c r="D112" s="673" t="s">
        <v>244</v>
      </c>
      <c r="E112" s="559"/>
      <c r="F112" s="559"/>
      <c r="G112" s="585"/>
      <c r="H112" s="651"/>
      <c r="I112" s="561"/>
      <c r="J112" s="559"/>
      <c r="K112" s="559"/>
      <c r="L112" s="562"/>
      <c r="M112" s="562"/>
      <c r="N112" s="563"/>
      <c r="O112" s="564"/>
      <c r="P112" s="565"/>
      <c r="Q112" s="664"/>
      <c r="R112" s="665"/>
      <c r="S112" s="665"/>
      <c r="T112" s="665"/>
      <c r="U112" s="666"/>
      <c r="V112" s="392"/>
      <c r="W112" s="410"/>
      <c r="X112" s="412"/>
      <c r="Y112" s="390"/>
      <c r="Z112" s="393"/>
      <c r="AA112" s="647">
        <f t="shared" ref="AA112" si="26">AA111/Z111</f>
        <v>-0.74555031106474468</v>
      </c>
      <c r="AB112" s="596"/>
      <c r="AC112" s="596"/>
      <c r="AD112" s="620"/>
      <c r="AE112" s="407"/>
      <c r="AF112" s="410"/>
      <c r="AG112" s="410"/>
      <c r="AH112" s="394"/>
      <c r="AI112" s="404"/>
      <c r="AJ112" s="566"/>
      <c r="AK112" s="567"/>
      <c r="AL112" s="567"/>
      <c r="AM112" s="568"/>
      <c r="AN112" s="681"/>
    </row>
    <row r="113" spans="1:40" s="584" customFormat="1" ht="27" customHeight="1">
      <c r="A113" s="557">
        <v>28.714285714285801</v>
      </c>
      <c r="B113" s="560"/>
      <c r="C113" s="557"/>
      <c r="D113" s="673"/>
      <c r="E113" s="569"/>
      <c r="F113" s="569"/>
      <c r="G113" s="585"/>
      <c r="H113" s="651"/>
      <c r="I113" s="561"/>
      <c r="J113" s="559"/>
      <c r="K113" s="559"/>
      <c r="L113" s="562"/>
      <c r="M113" s="562"/>
      <c r="N113" s="559"/>
      <c r="O113" s="570"/>
      <c r="P113" s="571"/>
      <c r="Q113" s="667"/>
      <c r="R113" s="668"/>
      <c r="S113" s="668"/>
      <c r="T113" s="668"/>
      <c r="U113" s="669"/>
      <c r="V113" s="392"/>
      <c r="W113" s="410"/>
      <c r="X113" s="412"/>
      <c r="Y113" s="390"/>
      <c r="Z113" s="393"/>
      <c r="AA113" s="393"/>
      <c r="AB113" s="596"/>
      <c r="AC113" s="596"/>
      <c r="AD113" s="621"/>
      <c r="AE113" s="408"/>
      <c r="AF113" s="410"/>
      <c r="AG113" s="410"/>
      <c r="AH113" s="394"/>
      <c r="AI113" s="404"/>
      <c r="AJ113" s="566"/>
      <c r="AK113" s="567"/>
      <c r="AL113" s="567"/>
      <c r="AM113" s="568"/>
      <c r="AN113" s="681"/>
    </row>
    <row r="114" spans="1:40" s="584" customFormat="1" ht="27" customHeight="1" thickBot="1">
      <c r="A114" s="572">
        <v>29.921428571428599</v>
      </c>
      <c r="B114" s="586"/>
      <c r="C114" s="572"/>
      <c r="D114" s="675"/>
      <c r="E114" s="573"/>
      <c r="F114" s="573"/>
      <c r="G114" s="575"/>
      <c r="H114" s="652"/>
      <c r="I114" s="576"/>
      <c r="J114" s="577"/>
      <c r="K114" s="577"/>
      <c r="L114" s="578"/>
      <c r="M114" s="578"/>
      <c r="N114" s="577"/>
      <c r="O114" s="579"/>
      <c r="P114" s="580"/>
      <c r="Q114" s="670"/>
      <c r="R114" s="671"/>
      <c r="S114" s="671"/>
      <c r="T114" s="671"/>
      <c r="U114" s="671"/>
      <c r="V114" s="395"/>
      <c r="W114" s="411"/>
      <c r="X114" s="413"/>
      <c r="Y114" s="391"/>
      <c r="Z114" s="389"/>
      <c r="AA114" s="416"/>
      <c r="AB114" s="597"/>
      <c r="AC114" s="597"/>
      <c r="AD114" s="622"/>
      <c r="AE114" s="409"/>
      <c r="AF114" s="411"/>
      <c r="AG114" s="411"/>
      <c r="AH114" s="396"/>
      <c r="AI114" s="405"/>
      <c r="AJ114" s="581"/>
      <c r="AK114" s="582"/>
      <c r="AL114" s="582"/>
      <c r="AM114" s="583"/>
      <c r="AN114" s="682"/>
    </row>
    <row r="115" spans="1:40" s="584" customFormat="1" ht="27" customHeight="1">
      <c r="A115" s="624">
        <v>28</v>
      </c>
      <c r="B115" s="770">
        <v>45627</v>
      </c>
      <c r="C115" s="625"/>
      <c r="D115" s="672" t="s">
        <v>276</v>
      </c>
      <c r="E115" s="626" t="s">
        <v>151</v>
      </c>
      <c r="F115" s="626" t="s">
        <v>45</v>
      </c>
      <c r="G115" s="627">
        <v>12</v>
      </c>
      <c r="H115" s="768">
        <v>4.2999999999999997E-2</v>
      </c>
      <c r="I115" s="630" t="s">
        <v>247</v>
      </c>
      <c r="J115" s="628">
        <v>16666</v>
      </c>
      <c r="K115" s="628"/>
      <c r="L115" s="599"/>
      <c r="M115" s="600">
        <f>IF(Table1351452010[[#This Row],[หัก ณ ที่จ่าย
(ค่าบริการ)]]="มี",Table1351452010[[#This Row],[ค่าบริการเฉลี่ยต่อเดือน]]*3%,0)</f>
        <v>0</v>
      </c>
      <c r="N115" s="552">
        <f>(Table1351452010[[#This Row],[ค่าบริการเฉลี่ยต่อเดือน]]-Table1351452010[[#This Row],[ต้นทุนช่องรายการ
(ถ้ามี)]]-Table1351452010[[#This Row],[มูลค่าหัก 3%]])</f>
        <v>16666</v>
      </c>
      <c r="O11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8599.655999999999</v>
      </c>
      <c r="P115" s="761">
        <f>Table1351452010[[#This Row],[ระยะเวลาสัญญา
(เดือน)]]/$P$5</f>
        <v>1</v>
      </c>
      <c r="Q115" s="765">
        <f>Table1351452010[[#This Row],[Total
รายการเบิก
คอมขาย
(1)]]</f>
        <v>8599.655999999999</v>
      </c>
      <c r="R115" s="766"/>
      <c r="S115" s="766"/>
      <c r="T115" s="766"/>
      <c r="U115" s="764"/>
      <c r="V115" s="629">
        <v>0</v>
      </c>
      <c r="W115" s="601"/>
      <c r="X115" s="602">
        <f>IF(Table1351452010[[#This Row],[หัก ณ ที่จ่าย
(ค่าติตั้ง)]]="มี",Table1351452010[[#This Row],[ค่าเชื่อมสัญญาณ/
ค่าติดตั้ง/
ค่าขายอุปกรณ์]]*$X$4,0)</f>
        <v>0</v>
      </c>
      <c r="Y115" s="397">
        <f>Table1351452010[[#This Row],[ค่าเชื่อมสัญญาณ/
ค่าติดตั้ง/
ค่าขายอุปกรณ์]]-Table1351452010[[#This Row],[มูลค่าหัก 3%
(ค่าติดตั้ง)]]</f>
        <v>0</v>
      </c>
      <c r="Z115" s="331">
        <v>0</v>
      </c>
      <c r="AA115" s="646">
        <f>Table1351452010[[#This Row],[ค่าเชื่อมสัญญาณ/
ค่าติดตั้ง/
ค่าขายอุปกรณ์
(เรียกเก็บสุทธิ)]]-Table1351452010[[#This Row],[ต้นทุน]]</f>
        <v>0</v>
      </c>
      <c r="AB115" s="789" t="str">
        <f>IF(Table1351452010[[#This Row],[ส่วนต่างกำไร]]&lt;(Table1351452010[[#This Row],[ต้นทุน]]*5%),Table1351452010[[#This Row],[ค่าเชื่อมสัญญาณ/
ค่าติดตั้ง/
ค่าขายอุปกรณ์
(เรียกเก็บสุทธิ)]]*$AB$3,"0")</f>
        <v>0</v>
      </c>
      <c r="AC115" s="789">
        <f>IF(Table1351452010[[#This Row],[ส่วนต่างกำไร]]&gt;=(Table1351452010[[#This Row],[ต้นทุน]]*5%),Table1351452010[[#This Row],[ค่าเชื่อมสัญญาณ/
ค่าติดตั้ง/
ค่าขายอุปกรณ์
(เรียกเก็บสุทธิ)]]*$AC$3,"0")</f>
        <v>0</v>
      </c>
      <c r="AD115" s="619">
        <f>SUM(Table1351452010[[#This Row],[คอมฯ
 5%]:[คอมฯ
10%]])</f>
        <v>0</v>
      </c>
      <c r="AE115" s="631">
        <v>0</v>
      </c>
      <c r="AF115" s="601"/>
      <c r="AG115" s="623">
        <f>IF(Table1351452010[[#This Row],[หัก ณ ที่จ่าย
(ค่าเชื่อมสัญญาณ)]]="มี",Table1351452010[[#This Row],[ค่าเชื่อมสัญญาณ]]*$AG$4,0)</f>
        <v>0</v>
      </c>
      <c r="AH115" s="398">
        <f>Table1351452010[[#This Row],[ค่าเชื่อมสัญญาณ]]-Table1351452010[[#This Row],[มูลค่าหัก 3%
(ค่าเชื่อมสัญญาณ)]]</f>
        <v>0</v>
      </c>
      <c r="AI115" s="403">
        <f>Table1351452010[[#This Row],[ค่าเชื่อมสัญญาณ
(เรียกเก็บสุทธิ)]]*$AI$3</f>
        <v>0</v>
      </c>
      <c r="AJ115" s="554">
        <f>Table1351452010[[#This Row],[สั่งจ่ายปีที่1]]+Table1351452010[[#This Row],[Total
ค่าเชื่มสัญญาณ/ค่าติดตั้ง/
ค่าขายอุปกรณ์
(2)]]+Table1351452010[[#This Row],[Total 
คอมฯค่าเชื่อมสัญญาณ
(3)]]</f>
        <v>8599.655999999999</v>
      </c>
      <c r="AK115" s="555"/>
      <c r="AL115" s="555"/>
      <c r="AM115" s="556"/>
      <c r="AN115" s="680" t="s">
        <v>246</v>
      </c>
    </row>
    <row r="116" spans="1:40" s="584" customFormat="1" ht="27" customHeight="1">
      <c r="A116" s="557"/>
      <c r="B116" s="560"/>
      <c r="C116" s="558"/>
      <c r="D116" s="673" t="s">
        <v>277</v>
      </c>
      <c r="E116" s="559"/>
      <c r="F116" s="559"/>
      <c r="G116" s="585"/>
      <c r="H116" s="651"/>
      <c r="I116" s="561"/>
      <c r="J116" s="559"/>
      <c r="K116" s="559"/>
      <c r="L116" s="562"/>
      <c r="M116" s="562"/>
      <c r="N116" s="563"/>
      <c r="O116" s="564"/>
      <c r="P116" s="565"/>
      <c r="Q116" s="664"/>
      <c r="R116" s="665"/>
      <c r="S116" s="665"/>
      <c r="T116" s="665"/>
      <c r="U116" s="666"/>
      <c r="V116" s="392"/>
      <c r="W116" s="410"/>
      <c r="X116" s="412"/>
      <c r="Y116" s="390"/>
      <c r="Z116" s="393"/>
      <c r="AA116" s="647" t="e">
        <f t="shared" ref="AA116" si="27">AA115/Z115</f>
        <v>#DIV/0!</v>
      </c>
      <c r="AB116" s="596"/>
      <c r="AC116" s="596"/>
      <c r="AD116" s="620"/>
      <c r="AE116" s="407"/>
      <c r="AF116" s="410"/>
      <c r="AG116" s="410"/>
      <c r="AH116" s="394"/>
      <c r="AI116" s="404"/>
      <c r="AJ116" s="566"/>
      <c r="AK116" s="567"/>
      <c r="AL116" s="567"/>
      <c r="AM116" s="568"/>
      <c r="AN116" s="681"/>
    </row>
    <row r="117" spans="1:40" s="584" customFormat="1" ht="27" customHeight="1">
      <c r="A117" s="557"/>
      <c r="B117" s="560"/>
      <c r="C117" s="557"/>
      <c r="D117" s="674"/>
      <c r="E117" s="569"/>
      <c r="F117" s="569"/>
      <c r="G117" s="585"/>
      <c r="H117" s="651"/>
      <c r="I117" s="561"/>
      <c r="J117" s="559"/>
      <c r="K117" s="559"/>
      <c r="L117" s="562"/>
      <c r="M117" s="562"/>
      <c r="N117" s="559"/>
      <c r="O117" s="570"/>
      <c r="P117" s="571"/>
      <c r="Q117" s="667"/>
      <c r="R117" s="668"/>
      <c r="S117" s="668"/>
      <c r="T117" s="668"/>
      <c r="U117" s="669"/>
      <c r="V117" s="392"/>
      <c r="W117" s="410"/>
      <c r="X117" s="412"/>
      <c r="Y117" s="390"/>
      <c r="Z117" s="393"/>
      <c r="AA117" s="393"/>
      <c r="AB117" s="596"/>
      <c r="AC117" s="596"/>
      <c r="AD117" s="621"/>
      <c r="AE117" s="408"/>
      <c r="AF117" s="410"/>
      <c r="AG117" s="410"/>
      <c r="AH117" s="394"/>
      <c r="AI117" s="404"/>
      <c r="AJ117" s="566"/>
      <c r="AK117" s="567"/>
      <c r="AL117" s="567"/>
      <c r="AM117" s="568"/>
      <c r="AN117" s="681"/>
    </row>
    <row r="118" spans="1:40" s="584" customFormat="1" ht="27" customHeight="1" thickBot="1">
      <c r="A118" s="572"/>
      <c r="B118" s="574"/>
      <c r="C118" s="572"/>
      <c r="D118" s="675"/>
      <c r="E118" s="573"/>
      <c r="F118" s="573"/>
      <c r="G118" s="575"/>
      <c r="H118" s="652"/>
      <c r="I118" s="576"/>
      <c r="J118" s="577"/>
      <c r="K118" s="577"/>
      <c r="L118" s="578"/>
      <c r="M118" s="578"/>
      <c r="N118" s="577"/>
      <c r="O118" s="579"/>
      <c r="P118" s="580"/>
      <c r="Q118" s="670"/>
      <c r="R118" s="671"/>
      <c r="S118" s="671"/>
      <c r="T118" s="671"/>
      <c r="U118" s="671"/>
      <c r="V118" s="395"/>
      <c r="W118" s="411"/>
      <c r="X118" s="413"/>
      <c r="Y118" s="391"/>
      <c r="Z118" s="389"/>
      <c r="AA118" s="648"/>
      <c r="AB118" s="597"/>
      <c r="AC118" s="597"/>
      <c r="AD118" s="622"/>
      <c r="AE118" s="409"/>
      <c r="AF118" s="411"/>
      <c r="AG118" s="411"/>
      <c r="AH118" s="396"/>
      <c r="AI118" s="405"/>
      <c r="AJ118" s="581"/>
      <c r="AK118" s="582"/>
      <c r="AL118" s="582"/>
      <c r="AM118" s="583"/>
      <c r="AN118" s="682"/>
    </row>
    <row r="119" spans="1:40" s="584" customFormat="1" ht="27" hidden="1" customHeight="1">
      <c r="A119" s="624"/>
      <c r="B119" s="770"/>
      <c r="C119" s="625"/>
      <c r="D119" s="672"/>
      <c r="E119" s="626"/>
      <c r="F119" s="626"/>
      <c r="G119" s="627"/>
      <c r="H119" s="768"/>
      <c r="I119" s="630"/>
      <c r="J119" s="628"/>
      <c r="K119" s="628"/>
      <c r="L119" s="599"/>
      <c r="M119" s="600">
        <f>IF(Table1351452010[[#This Row],[หัก ณ ที่จ่าย
(ค่าบริการ)]]="มี",Table1351452010[[#This Row],[ค่าบริการเฉลี่ยต่อเดือน]]*3%,0)</f>
        <v>0</v>
      </c>
      <c r="N119" s="552">
        <f>(Table1351452010[[#This Row],[ค่าบริการเฉลี่ยต่อเดือน]]-Table1351452010[[#This Row],[ต้นทุนช่องรายการ
(ถ้ามี)]]-Table1351452010[[#This Row],[มูลค่าหัก 3%]])</f>
        <v>0</v>
      </c>
      <c r="O11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19" s="761">
        <f>Table1351452010[[#This Row],[ระยะเวลาสัญญา
(เดือน)]]/$P$5</f>
        <v>0</v>
      </c>
      <c r="Q119" s="765"/>
      <c r="R119" s="766"/>
      <c r="S119" s="766"/>
      <c r="T119" s="766"/>
      <c r="U119" s="764"/>
      <c r="V119" s="629"/>
      <c r="W119" s="601"/>
      <c r="X119" s="602">
        <f>IF(Table1351452010[[#This Row],[หัก ณ ที่จ่าย
(ค่าติตั้ง)]]="มี",Table1351452010[[#This Row],[ค่าเชื่อมสัญญาณ/
ค่าติดตั้ง/
ค่าขายอุปกรณ์]]*$X$4,0)</f>
        <v>0</v>
      </c>
      <c r="Y119" s="397">
        <f>Table1351452010[[#This Row],[ค่าเชื่อมสัญญาณ/
ค่าติดตั้ง/
ค่าขายอุปกรณ์]]-Table1351452010[[#This Row],[มูลค่าหัก 3%
(ค่าติดตั้ง)]]</f>
        <v>0</v>
      </c>
      <c r="Z119" s="331"/>
      <c r="AA119" s="646">
        <f>Table1351452010[[#This Row],[ค่าเชื่อมสัญญาณ/
ค่าติดตั้ง/
ค่าขายอุปกรณ์
(เรียกเก็บสุทธิ)]]-Table1351452010[[#This Row],[ต้นทุน]]</f>
        <v>0</v>
      </c>
      <c r="AB119" s="789" t="str">
        <f>IF(Table1351452010[[#This Row],[ส่วนต่างกำไร]]&lt;(Table1351452010[[#This Row],[ต้นทุน]]*5%),Table1351452010[[#This Row],[ค่าเชื่อมสัญญาณ/
ค่าติดตั้ง/
ค่าขายอุปกรณ์
(เรียกเก็บสุทธิ)]]*$AB$3,"0")</f>
        <v>0</v>
      </c>
      <c r="AC119" s="789">
        <f>IF(Table1351452010[[#This Row],[ส่วนต่างกำไร]]&gt;=(Table1351452010[[#This Row],[ต้นทุน]]*5%),Table1351452010[[#This Row],[ค่าเชื่อมสัญญาณ/
ค่าติดตั้ง/
ค่าขายอุปกรณ์
(เรียกเก็บสุทธิ)]]*$AC$3,"0")</f>
        <v>0</v>
      </c>
      <c r="AD119" s="619">
        <f>SUM(Table1351452010[[#This Row],[คอมฯ
 5%]:[คอมฯ
10%]])</f>
        <v>0</v>
      </c>
      <c r="AE119" s="631"/>
      <c r="AF119" s="601"/>
      <c r="AG119" s="623">
        <f>IF(Table1351452010[[#This Row],[หัก ณ ที่จ่าย
(ค่าเชื่อมสัญญาณ)]]="มี",Table1351452010[[#This Row],[ค่าเชื่อมสัญญาณ]]*$AG$4,0)</f>
        <v>0</v>
      </c>
      <c r="AH119" s="398">
        <f>Table1351452010[[#This Row],[ค่าเชื่อมสัญญาณ]]-Table1351452010[[#This Row],[มูลค่าหัก 3%
(ค่าเชื่อมสัญญาณ)]]</f>
        <v>0</v>
      </c>
      <c r="AI119" s="403">
        <f>Table1351452010[[#This Row],[ค่าเชื่อมสัญญาณ
(เรียกเก็บสุทธิ)]]*$AI$3</f>
        <v>0</v>
      </c>
      <c r="AJ119" s="554">
        <f>Table1351452010[[#This Row],[สั่งจ่ายปีที่1]]+Table1351452010[[#This Row],[Total
ค่าเชื่มสัญญาณ/ค่าติดตั้ง/
ค่าขายอุปกรณ์
(2)]]+Table1351452010[[#This Row],[Total 
คอมฯค่าเชื่อมสัญญาณ
(3)]]</f>
        <v>0</v>
      </c>
      <c r="AK119" s="555"/>
      <c r="AL119" s="555"/>
      <c r="AM119" s="556"/>
      <c r="AN119" s="680"/>
    </row>
    <row r="120" spans="1:40" s="584" customFormat="1" ht="27" hidden="1" customHeight="1">
      <c r="A120" s="557"/>
      <c r="B120" s="560"/>
      <c r="C120" s="558"/>
      <c r="D120" s="673"/>
      <c r="E120" s="559"/>
      <c r="F120" s="559"/>
      <c r="G120" s="585"/>
      <c r="H120" s="651"/>
      <c r="I120" s="561"/>
      <c r="J120" s="559"/>
      <c r="K120" s="559"/>
      <c r="L120" s="562"/>
      <c r="M120" s="562"/>
      <c r="N120" s="563"/>
      <c r="O120" s="564"/>
      <c r="P120" s="565"/>
      <c r="Q120" s="664"/>
      <c r="R120" s="665"/>
      <c r="S120" s="665"/>
      <c r="T120" s="665"/>
      <c r="U120" s="666"/>
      <c r="V120" s="392"/>
      <c r="W120" s="410"/>
      <c r="X120" s="412"/>
      <c r="Y120" s="390"/>
      <c r="Z120" s="393"/>
      <c r="AA120" s="647" t="e">
        <f t="shared" ref="AA120" si="28">AA119/Z119</f>
        <v>#DIV/0!</v>
      </c>
      <c r="AB120" s="596"/>
      <c r="AC120" s="596"/>
      <c r="AD120" s="620"/>
      <c r="AE120" s="407"/>
      <c r="AF120" s="410"/>
      <c r="AG120" s="410"/>
      <c r="AH120" s="394"/>
      <c r="AI120" s="404"/>
      <c r="AJ120" s="566"/>
      <c r="AK120" s="567"/>
      <c r="AL120" s="567"/>
      <c r="AM120" s="568"/>
      <c r="AN120" s="681"/>
    </row>
    <row r="121" spans="1:40" s="584" customFormat="1" ht="27" hidden="1" customHeight="1">
      <c r="A121" s="557"/>
      <c r="B121" s="560"/>
      <c r="C121" s="557"/>
      <c r="D121" s="674"/>
      <c r="E121" s="569"/>
      <c r="F121" s="569"/>
      <c r="G121" s="585"/>
      <c r="H121" s="651"/>
      <c r="I121" s="561"/>
      <c r="J121" s="559"/>
      <c r="K121" s="559"/>
      <c r="L121" s="562"/>
      <c r="M121" s="562"/>
      <c r="N121" s="559"/>
      <c r="O121" s="570"/>
      <c r="P121" s="571"/>
      <c r="Q121" s="667"/>
      <c r="R121" s="668"/>
      <c r="S121" s="668"/>
      <c r="T121" s="668"/>
      <c r="U121" s="669"/>
      <c r="V121" s="392"/>
      <c r="W121" s="410"/>
      <c r="X121" s="412"/>
      <c r="Y121" s="390"/>
      <c r="Z121" s="393"/>
      <c r="AA121" s="393"/>
      <c r="AB121" s="596"/>
      <c r="AC121" s="596"/>
      <c r="AD121" s="621"/>
      <c r="AE121" s="408"/>
      <c r="AF121" s="410"/>
      <c r="AG121" s="410"/>
      <c r="AH121" s="394"/>
      <c r="AI121" s="404"/>
      <c r="AJ121" s="566"/>
      <c r="AK121" s="567"/>
      <c r="AL121" s="567"/>
      <c r="AM121" s="568"/>
      <c r="AN121" s="681"/>
    </row>
    <row r="122" spans="1:40" s="584" customFormat="1" ht="27" hidden="1" customHeight="1" thickBot="1">
      <c r="A122" s="572"/>
      <c r="B122" s="574"/>
      <c r="C122" s="572"/>
      <c r="D122" s="675"/>
      <c r="E122" s="573"/>
      <c r="F122" s="573"/>
      <c r="G122" s="575"/>
      <c r="H122" s="652"/>
      <c r="I122" s="576"/>
      <c r="J122" s="577"/>
      <c r="K122" s="577"/>
      <c r="L122" s="578"/>
      <c r="M122" s="578"/>
      <c r="N122" s="577"/>
      <c r="O122" s="579"/>
      <c r="P122" s="580"/>
      <c r="Q122" s="670"/>
      <c r="R122" s="671"/>
      <c r="S122" s="671"/>
      <c r="T122" s="671"/>
      <c r="U122" s="671"/>
      <c r="V122" s="395"/>
      <c r="W122" s="411"/>
      <c r="X122" s="413"/>
      <c r="Y122" s="391"/>
      <c r="Z122" s="389"/>
      <c r="AA122" s="648"/>
      <c r="AB122" s="597"/>
      <c r="AC122" s="597"/>
      <c r="AD122" s="622"/>
      <c r="AE122" s="409"/>
      <c r="AF122" s="411"/>
      <c r="AG122" s="411"/>
      <c r="AH122" s="396"/>
      <c r="AI122" s="405"/>
      <c r="AJ122" s="581"/>
      <c r="AK122" s="582"/>
      <c r="AL122" s="582"/>
      <c r="AM122" s="583"/>
      <c r="AN122" s="682"/>
    </row>
    <row r="123" spans="1:40" s="584" customFormat="1" ht="27" hidden="1" customHeight="1">
      <c r="A123" s="624"/>
      <c r="B123" s="770"/>
      <c r="C123" s="625"/>
      <c r="D123" s="672"/>
      <c r="E123" s="626"/>
      <c r="F123" s="626"/>
      <c r="G123" s="627"/>
      <c r="H123" s="768"/>
      <c r="I123" s="630"/>
      <c r="J123" s="628"/>
      <c r="K123" s="628"/>
      <c r="L123" s="599"/>
      <c r="M123" s="600">
        <f>IF(Table1351452010[[#This Row],[หัก ณ ที่จ่าย
(ค่าบริการ)]]="มี",Table1351452010[[#This Row],[ค่าบริการเฉลี่ยต่อเดือน]]*3%,0)</f>
        <v>0</v>
      </c>
      <c r="N123" s="552">
        <f>(Table1351452010[[#This Row],[ค่าบริการเฉลี่ยต่อเดือน]]-Table1351452010[[#This Row],[ต้นทุนช่องรายการ
(ถ้ามี)]]-Table1351452010[[#This Row],[มูลค่าหัก 3%]])</f>
        <v>0</v>
      </c>
      <c r="O12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23" s="761">
        <f>Table1351452010[[#This Row],[ระยะเวลาสัญญา
(เดือน)]]/$P$5</f>
        <v>0</v>
      </c>
      <c r="Q123" s="765"/>
      <c r="R123" s="766"/>
      <c r="S123" s="766"/>
      <c r="T123" s="766"/>
      <c r="U123" s="764"/>
      <c r="V123" s="629"/>
      <c r="W123" s="601"/>
      <c r="X123" s="602">
        <f>IF(Table1351452010[[#This Row],[หัก ณ ที่จ่าย
(ค่าติตั้ง)]]="มี",Table1351452010[[#This Row],[ค่าเชื่อมสัญญาณ/
ค่าติดตั้ง/
ค่าขายอุปกรณ์]]*$X$4,0)</f>
        <v>0</v>
      </c>
      <c r="Y123" s="397">
        <f>Table1351452010[[#This Row],[ค่าเชื่อมสัญญาณ/
ค่าติดตั้ง/
ค่าขายอุปกรณ์]]-Table1351452010[[#This Row],[มูลค่าหัก 3%
(ค่าติดตั้ง)]]</f>
        <v>0</v>
      </c>
      <c r="Z123" s="331"/>
      <c r="AA123" s="646">
        <f>Table1351452010[[#This Row],[ค่าเชื่อมสัญญาณ/
ค่าติดตั้ง/
ค่าขายอุปกรณ์
(เรียกเก็บสุทธิ)]]-Table1351452010[[#This Row],[ต้นทุน]]</f>
        <v>0</v>
      </c>
      <c r="AB123" s="789" t="str">
        <f>IF(Table1351452010[[#This Row],[ส่วนต่างกำไร]]&lt;(Table1351452010[[#This Row],[ต้นทุน]]*5%),Table1351452010[[#This Row],[ค่าเชื่อมสัญญาณ/
ค่าติดตั้ง/
ค่าขายอุปกรณ์
(เรียกเก็บสุทธิ)]]*$AB$3,"0")</f>
        <v>0</v>
      </c>
      <c r="AC123" s="789">
        <f>IF(Table1351452010[[#This Row],[ส่วนต่างกำไร]]&gt;=(Table1351452010[[#This Row],[ต้นทุน]]*5%),Table1351452010[[#This Row],[ค่าเชื่อมสัญญาณ/
ค่าติดตั้ง/
ค่าขายอุปกรณ์
(เรียกเก็บสุทธิ)]]*$AC$3,"0")</f>
        <v>0</v>
      </c>
      <c r="AD123" s="619">
        <f>SUM(Table1351452010[[#This Row],[คอมฯ
 5%]:[คอมฯ
10%]])</f>
        <v>0</v>
      </c>
      <c r="AE123" s="631"/>
      <c r="AF123" s="601"/>
      <c r="AG123" s="623">
        <f>IF(Table1351452010[[#This Row],[หัก ณ ที่จ่าย
(ค่าเชื่อมสัญญาณ)]]="มี",Table1351452010[[#This Row],[ค่าเชื่อมสัญญาณ]]*$AG$4,0)</f>
        <v>0</v>
      </c>
      <c r="AH123" s="398">
        <f>Table1351452010[[#This Row],[ค่าเชื่อมสัญญาณ]]-Table1351452010[[#This Row],[มูลค่าหัก 3%
(ค่าเชื่อมสัญญาณ)]]</f>
        <v>0</v>
      </c>
      <c r="AI123" s="403">
        <f>Table1351452010[[#This Row],[ค่าเชื่อมสัญญาณ
(เรียกเก็บสุทธิ)]]*$AI$3</f>
        <v>0</v>
      </c>
      <c r="AJ123" s="554">
        <f>Table1351452010[[#This Row],[สั่งจ่ายปีที่1]]+Table1351452010[[#This Row],[Total
ค่าเชื่มสัญญาณ/ค่าติดตั้ง/
ค่าขายอุปกรณ์
(2)]]+Table1351452010[[#This Row],[Total 
คอมฯค่าเชื่อมสัญญาณ
(3)]]</f>
        <v>0</v>
      </c>
      <c r="AK123" s="555"/>
      <c r="AL123" s="555"/>
      <c r="AM123" s="556"/>
      <c r="AN123" s="680"/>
    </row>
    <row r="124" spans="1:40" s="584" customFormat="1" ht="27" hidden="1" customHeight="1">
      <c r="A124" s="557"/>
      <c r="B124" s="560"/>
      <c r="C124" s="558"/>
      <c r="D124" s="673"/>
      <c r="E124" s="559"/>
      <c r="F124" s="559"/>
      <c r="G124" s="585"/>
      <c r="H124" s="651"/>
      <c r="I124" s="561"/>
      <c r="J124" s="559"/>
      <c r="K124" s="559"/>
      <c r="L124" s="562"/>
      <c r="M124" s="562"/>
      <c r="N124" s="563"/>
      <c r="O124" s="564"/>
      <c r="P124" s="565"/>
      <c r="Q124" s="664"/>
      <c r="R124" s="665"/>
      <c r="S124" s="665"/>
      <c r="T124" s="665"/>
      <c r="U124" s="666"/>
      <c r="V124" s="392"/>
      <c r="W124" s="410"/>
      <c r="X124" s="412"/>
      <c r="Y124" s="390"/>
      <c r="Z124" s="393"/>
      <c r="AA124" s="647" t="e">
        <f t="shared" ref="AA124" si="29">AA123/Z123</f>
        <v>#DIV/0!</v>
      </c>
      <c r="AB124" s="596"/>
      <c r="AC124" s="596"/>
      <c r="AD124" s="620"/>
      <c r="AE124" s="407"/>
      <c r="AF124" s="410"/>
      <c r="AG124" s="410"/>
      <c r="AH124" s="394"/>
      <c r="AI124" s="404"/>
      <c r="AJ124" s="566"/>
      <c r="AK124" s="567"/>
      <c r="AL124" s="567"/>
      <c r="AM124" s="568"/>
      <c r="AN124" s="681"/>
    </row>
    <row r="125" spans="1:40" s="584" customFormat="1" ht="27" hidden="1" customHeight="1">
      <c r="A125" s="557"/>
      <c r="B125" s="560"/>
      <c r="C125" s="557"/>
      <c r="D125" s="674"/>
      <c r="E125" s="569"/>
      <c r="F125" s="569"/>
      <c r="G125" s="585"/>
      <c r="H125" s="651"/>
      <c r="I125" s="561"/>
      <c r="J125" s="559"/>
      <c r="K125" s="559"/>
      <c r="L125" s="562"/>
      <c r="M125" s="562"/>
      <c r="N125" s="559"/>
      <c r="O125" s="570"/>
      <c r="P125" s="571"/>
      <c r="Q125" s="667"/>
      <c r="R125" s="668"/>
      <c r="S125" s="668"/>
      <c r="T125" s="668"/>
      <c r="U125" s="669"/>
      <c r="V125" s="392"/>
      <c r="W125" s="410"/>
      <c r="X125" s="412"/>
      <c r="Y125" s="390"/>
      <c r="Z125" s="393"/>
      <c r="AA125" s="393"/>
      <c r="AB125" s="596"/>
      <c r="AC125" s="596"/>
      <c r="AD125" s="621"/>
      <c r="AE125" s="408"/>
      <c r="AF125" s="410"/>
      <c r="AG125" s="410"/>
      <c r="AH125" s="394"/>
      <c r="AI125" s="404"/>
      <c r="AJ125" s="566"/>
      <c r="AK125" s="567"/>
      <c r="AL125" s="567"/>
      <c r="AM125" s="568"/>
      <c r="AN125" s="681"/>
    </row>
    <row r="126" spans="1:40" s="584" customFormat="1" ht="27" hidden="1" customHeight="1" thickBot="1">
      <c r="A126" s="572"/>
      <c r="B126" s="574"/>
      <c r="C126" s="572"/>
      <c r="D126" s="675"/>
      <c r="E126" s="573"/>
      <c r="F126" s="573"/>
      <c r="G126" s="575"/>
      <c r="H126" s="652"/>
      <c r="I126" s="576"/>
      <c r="J126" s="577"/>
      <c r="K126" s="577"/>
      <c r="L126" s="578"/>
      <c r="M126" s="578"/>
      <c r="N126" s="577"/>
      <c r="O126" s="579"/>
      <c r="P126" s="580"/>
      <c r="Q126" s="670"/>
      <c r="R126" s="671"/>
      <c r="S126" s="671"/>
      <c r="T126" s="671"/>
      <c r="U126" s="671"/>
      <c r="V126" s="395"/>
      <c r="W126" s="411"/>
      <c r="X126" s="413"/>
      <c r="Y126" s="391"/>
      <c r="Z126" s="389"/>
      <c r="AA126" s="648"/>
      <c r="AB126" s="597"/>
      <c r="AC126" s="597"/>
      <c r="AD126" s="622"/>
      <c r="AE126" s="409"/>
      <c r="AF126" s="411"/>
      <c r="AG126" s="411"/>
      <c r="AH126" s="396"/>
      <c r="AI126" s="405"/>
      <c r="AJ126" s="581"/>
      <c r="AK126" s="582"/>
      <c r="AL126" s="582"/>
      <c r="AM126" s="583"/>
      <c r="AN126" s="682"/>
    </row>
    <row r="127" spans="1:40" s="584" customFormat="1" ht="27" hidden="1" customHeight="1">
      <c r="A127" s="624"/>
      <c r="B127" s="770"/>
      <c r="C127" s="625"/>
      <c r="D127" s="672"/>
      <c r="E127" s="626"/>
      <c r="F127" s="626"/>
      <c r="G127" s="627"/>
      <c r="H127" s="768"/>
      <c r="I127" s="630"/>
      <c r="J127" s="628"/>
      <c r="K127" s="628"/>
      <c r="L127" s="599"/>
      <c r="M127" s="600">
        <f>IF(Table1351452010[[#This Row],[หัก ณ ที่จ่าย
(ค่าบริการ)]]="มี",Table1351452010[[#This Row],[ค่าบริการเฉลี่ยต่อเดือน]]*3%,0)</f>
        <v>0</v>
      </c>
      <c r="N127" s="552">
        <f>(Table1351452010[[#This Row],[ค่าบริการเฉลี่ยต่อเดือน]]-Table1351452010[[#This Row],[ต้นทุนช่องรายการ
(ถ้ามี)]]-Table1351452010[[#This Row],[มูลค่าหัก 3%]])</f>
        <v>0</v>
      </c>
      <c r="O127"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27" s="761">
        <f>Table1351452010[[#This Row],[ระยะเวลาสัญญา
(เดือน)]]/$P$5</f>
        <v>0</v>
      </c>
      <c r="Q127" s="765"/>
      <c r="R127" s="766"/>
      <c r="S127" s="766"/>
      <c r="T127" s="766"/>
      <c r="U127" s="764"/>
      <c r="V127" s="629"/>
      <c r="W127" s="601"/>
      <c r="X127" s="602">
        <f>IF(Table1351452010[[#This Row],[หัก ณ ที่จ่าย
(ค่าติตั้ง)]]="มี",Table1351452010[[#This Row],[ค่าเชื่อมสัญญาณ/
ค่าติดตั้ง/
ค่าขายอุปกรณ์]]*$X$4,0)</f>
        <v>0</v>
      </c>
      <c r="Y127" s="397">
        <f>Table1351452010[[#This Row],[ค่าเชื่อมสัญญาณ/
ค่าติดตั้ง/
ค่าขายอุปกรณ์]]-Table1351452010[[#This Row],[มูลค่าหัก 3%
(ค่าติดตั้ง)]]</f>
        <v>0</v>
      </c>
      <c r="Z127" s="331"/>
      <c r="AA127" s="646">
        <f>Table1351452010[[#This Row],[ค่าเชื่อมสัญญาณ/
ค่าติดตั้ง/
ค่าขายอุปกรณ์
(เรียกเก็บสุทธิ)]]-Table1351452010[[#This Row],[ต้นทุน]]</f>
        <v>0</v>
      </c>
      <c r="AB127" s="789" t="str">
        <f>IF(Table1351452010[[#This Row],[ส่วนต่างกำไร]]&lt;(Table1351452010[[#This Row],[ต้นทุน]]*5%),Table1351452010[[#This Row],[ค่าเชื่อมสัญญาณ/
ค่าติดตั้ง/
ค่าขายอุปกรณ์
(เรียกเก็บสุทธิ)]]*$AB$3,"0")</f>
        <v>0</v>
      </c>
      <c r="AC127" s="789">
        <f>IF(Table1351452010[[#This Row],[ส่วนต่างกำไร]]&gt;=(Table1351452010[[#This Row],[ต้นทุน]]*5%),Table1351452010[[#This Row],[ค่าเชื่อมสัญญาณ/
ค่าติดตั้ง/
ค่าขายอุปกรณ์
(เรียกเก็บสุทธิ)]]*$AC$3,"0")</f>
        <v>0</v>
      </c>
      <c r="AD127" s="619">
        <f>SUM(Table1351452010[[#This Row],[คอมฯ
 5%]:[คอมฯ
10%]])</f>
        <v>0</v>
      </c>
      <c r="AE127" s="631"/>
      <c r="AF127" s="601"/>
      <c r="AG127" s="623">
        <f>IF(Table1351452010[[#This Row],[หัก ณ ที่จ่าย
(ค่าเชื่อมสัญญาณ)]]="มี",Table1351452010[[#This Row],[ค่าเชื่อมสัญญาณ]]*$AG$4,0)</f>
        <v>0</v>
      </c>
      <c r="AH127" s="398">
        <f>Table1351452010[[#This Row],[ค่าเชื่อมสัญญาณ]]-Table1351452010[[#This Row],[มูลค่าหัก 3%
(ค่าเชื่อมสัญญาณ)]]</f>
        <v>0</v>
      </c>
      <c r="AI127" s="403">
        <f>Table1351452010[[#This Row],[ค่าเชื่อมสัญญาณ
(เรียกเก็บสุทธิ)]]*$AI$3</f>
        <v>0</v>
      </c>
      <c r="AJ127" s="554">
        <f>Table1351452010[[#This Row],[สั่งจ่ายปีที่1]]+Table1351452010[[#This Row],[Total
ค่าเชื่มสัญญาณ/ค่าติดตั้ง/
ค่าขายอุปกรณ์
(2)]]+Table1351452010[[#This Row],[Total 
คอมฯค่าเชื่อมสัญญาณ
(3)]]</f>
        <v>0</v>
      </c>
      <c r="AK127" s="555"/>
      <c r="AL127" s="555"/>
      <c r="AM127" s="556"/>
      <c r="AN127" s="680"/>
    </row>
    <row r="128" spans="1:40" s="584" customFormat="1" ht="27" hidden="1" customHeight="1">
      <c r="A128" s="557"/>
      <c r="B128" s="560"/>
      <c r="C128" s="558"/>
      <c r="D128" s="673"/>
      <c r="E128" s="559"/>
      <c r="F128" s="559"/>
      <c r="G128" s="585"/>
      <c r="H128" s="651"/>
      <c r="I128" s="561"/>
      <c r="J128" s="559"/>
      <c r="K128" s="559"/>
      <c r="L128" s="562"/>
      <c r="M128" s="562"/>
      <c r="N128" s="563"/>
      <c r="O128" s="564"/>
      <c r="P128" s="565"/>
      <c r="Q128" s="664"/>
      <c r="R128" s="665"/>
      <c r="S128" s="665"/>
      <c r="T128" s="665"/>
      <c r="U128" s="666"/>
      <c r="V128" s="392"/>
      <c r="W128" s="410"/>
      <c r="X128" s="412"/>
      <c r="Y128" s="390"/>
      <c r="Z128" s="393"/>
      <c r="AA128" s="647" t="e">
        <f t="shared" ref="AA128" si="30">AA127/Z127</f>
        <v>#DIV/0!</v>
      </c>
      <c r="AB128" s="596"/>
      <c r="AC128" s="596"/>
      <c r="AD128" s="620"/>
      <c r="AE128" s="407"/>
      <c r="AF128" s="410"/>
      <c r="AG128" s="410"/>
      <c r="AH128" s="394"/>
      <c r="AI128" s="404"/>
      <c r="AJ128" s="566"/>
      <c r="AK128" s="567"/>
      <c r="AL128" s="567"/>
      <c r="AM128" s="568"/>
      <c r="AN128" s="681"/>
    </row>
    <row r="129" spans="1:40" s="584" customFormat="1" ht="27" hidden="1" customHeight="1">
      <c r="A129" s="557"/>
      <c r="B129" s="560"/>
      <c r="C129" s="557"/>
      <c r="D129" s="674"/>
      <c r="E129" s="569"/>
      <c r="F129" s="569"/>
      <c r="G129" s="585"/>
      <c r="H129" s="651"/>
      <c r="I129" s="561"/>
      <c r="J129" s="559"/>
      <c r="K129" s="559"/>
      <c r="L129" s="562"/>
      <c r="M129" s="562"/>
      <c r="N129" s="559"/>
      <c r="O129" s="570"/>
      <c r="P129" s="571"/>
      <c r="Q129" s="667"/>
      <c r="R129" s="668"/>
      <c r="S129" s="668"/>
      <c r="T129" s="668"/>
      <c r="U129" s="669"/>
      <c r="V129" s="392"/>
      <c r="W129" s="410"/>
      <c r="X129" s="412"/>
      <c r="Y129" s="390"/>
      <c r="Z129" s="393"/>
      <c r="AA129" s="393"/>
      <c r="AB129" s="596"/>
      <c r="AC129" s="596"/>
      <c r="AD129" s="621"/>
      <c r="AE129" s="408"/>
      <c r="AF129" s="410"/>
      <c r="AG129" s="410"/>
      <c r="AH129" s="394"/>
      <c r="AI129" s="404"/>
      <c r="AJ129" s="566"/>
      <c r="AK129" s="567"/>
      <c r="AL129" s="567"/>
      <c r="AM129" s="568"/>
      <c r="AN129" s="681"/>
    </row>
    <row r="130" spans="1:40" s="584" customFormat="1" ht="27" hidden="1" customHeight="1" thickBot="1">
      <c r="A130" s="572"/>
      <c r="B130" s="574"/>
      <c r="C130" s="572"/>
      <c r="D130" s="675"/>
      <c r="E130" s="573"/>
      <c r="F130" s="573"/>
      <c r="G130" s="575"/>
      <c r="H130" s="652"/>
      <c r="I130" s="576"/>
      <c r="J130" s="577"/>
      <c r="K130" s="577"/>
      <c r="L130" s="578"/>
      <c r="M130" s="578"/>
      <c r="N130" s="577"/>
      <c r="O130" s="579"/>
      <c r="P130" s="580"/>
      <c r="Q130" s="670"/>
      <c r="R130" s="671"/>
      <c r="S130" s="671"/>
      <c r="T130" s="671"/>
      <c r="U130" s="671"/>
      <c r="V130" s="395"/>
      <c r="W130" s="411"/>
      <c r="X130" s="413"/>
      <c r="Y130" s="391"/>
      <c r="Z130" s="389"/>
      <c r="AA130" s="648"/>
      <c r="AB130" s="597"/>
      <c r="AC130" s="597"/>
      <c r="AD130" s="622"/>
      <c r="AE130" s="409"/>
      <c r="AF130" s="411"/>
      <c r="AG130" s="411"/>
      <c r="AH130" s="396"/>
      <c r="AI130" s="405"/>
      <c r="AJ130" s="581"/>
      <c r="AK130" s="582"/>
      <c r="AL130" s="582"/>
      <c r="AM130" s="583"/>
      <c r="AN130" s="682"/>
    </row>
    <row r="131" spans="1:40" s="584" customFormat="1" ht="27" hidden="1" customHeight="1">
      <c r="A131" s="624"/>
      <c r="B131" s="770"/>
      <c r="C131" s="625"/>
      <c r="D131" s="672"/>
      <c r="E131" s="626"/>
      <c r="F131" s="626"/>
      <c r="G131" s="627"/>
      <c r="H131" s="768"/>
      <c r="I131" s="630"/>
      <c r="J131" s="628"/>
      <c r="K131" s="628"/>
      <c r="L131" s="599"/>
      <c r="M131" s="600">
        <f>IF(Table1351452010[[#This Row],[หัก ณ ที่จ่าย
(ค่าบริการ)]]="มี",Table1351452010[[#This Row],[ค่าบริการเฉลี่ยต่อเดือน]]*3%,0)</f>
        <v>0</v>
      </c>
      <c r="N131" s="552">
        <f>(Table1351452010[[#This Row],[ค่าบริการเฉลี่ยต่อเดือน]]-Table1351452010[[#This Row],[ต้นทุนช่องรายการ
(ถ้ามี)]]-Table1351452010[[#This Row],[มูลค่าหัก 3%]])</f>
        <v>0</v>
      </c>
      <c r="O131"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31" s="761">
        <f>Table1351452010[[#This Row],[ระยะเวลาสัญญา
(เดือน)]]/$P$5</f>
        <v>0</v>
      </c>
      <c r="Q131" s="765"/>
      <c r="R131" s="766"/>
      <c r="S131" s="766"/>
      <c r="T131" s="766"/>
      <c r="U131" s="764"/>
      <c r="V131" s="629"/>
      <c r="W131" s="601"/>
      <c r="X131" s="602">
        <f>IF(Table1351452010[[#This Row],[หัก ณ ที่จ่าย
(ค่าติตั้ง)]]="มี",Table1351452010[[#This Row],[ค่าเชื่อมสัญญาณ/
ค่าติดตั้ง/
ค่าขายอุปกรณ์]]*$X$4,0)</f>
        <v>0</v>
      </c>
      <c r="Y131" s="397">
        <f>Table1351452010[[#This Row],[ค่าเชื่อมสัญญาณ/
ค่าติดตั้ง/
ค่าขายอุปกรณ์]]-Table1351452010[[#This Row],[มูลค่าหัก 3%
(ค่าติดตั้ง)]]</f>
        <v>0</v>
      </c>
      <c r="Z131" s="331"/>
      <c r="AA131" s="646">
        <f>Table1351452010[[#This Row],[ค่าเชื่อมสัญญาณ/
ค่าติดตั้ง/
ค่าขายอุปกรณ์
(เรียกเก็บสุทธิ)]]-Table1351452010[[#This Row],[ต้นทุน]]</f>
        <v>0</v>
      </c>
      <c r="AB131" s="789" t="str">
        <f>IF(Table1351452010[[#This Row],[ส่วนต่างกำไร]]&lt;(Table1351452010[[#This Row],[ต้นทุน]]*5%),Table1351452010[[#This Row],[ค่าเชื่อมสัญญาณ/
ค่าติดตั้ง/
ค่าขายอุปกรณ์
(เรียกเก็บสุทธิ)]]*$AB$3,"0")</f>
        <v>0</v>
      </c>
      <c r="AC131" s="789">
        <f>IF(Table1351452010[[#This Row],[ส่วนต่างกำไร]]&gt;=(Table1351452010[[#This Row],[ต้นทุน]]*5%),Table1351452010[[#This Row],[ค่าเชื่อมสัญญาณ/
ค่าติดตั้ง/
ค่าขายอุปกรณ์
(เรียกเก็บสุทธิ)]]*$AC$3,"0")</f>
        <v>0</v>
      </c>
      <c r="AD131" s="619">
        <f>SUM(Table1351452010[[#This Row],[คอมฯ
 5%]:[คอมฯ
10%]])</f>
        <v>0</v>
      </c>
      <c r="AE131" s="631"/>
      <c r="AF131" s="601"/>
      <c r="AG131" s="623">
        <f>IF(Table1351452010[[#This Row],[หัก ณ ที่จ่าย
(ค่าเชื่อมสัญญาณ)]]="มี",Table1351452010[[#This Row],[ค่าเชื่อมสัญญาณ]]*$AG$4,0)</f>
        <v>0</v>
      </c>
      <c r="AH131" s="398">
        <f>Table1351452010[[#This Row],[ค่าเชื่อมสัญญาณ]]-Table1351452010[[#This Row],[มูลค่าหัก 3%
(ค่าเชื่อมสัญญาณ)]]</f>
        <v>0</v>
      </c>
      <c r="AI131" s="403">
        <f>Table1351452010[[#This Row],[ค่าเชื่อมสัญญาณ
(เรียกเก็บสุทธิ)]]*$AI$3</f>
        <v>0</v>
      </c>
      <c r="AJ131" s="554">
        <f>Table1351452010[[#This Row],[สั่งจ่ายปีที่1]]+Table1351452010[[#This Row],[Total
ค่าเชื่มสัญญาณ/ค่าติดตั้ง/
ค่าขายอุปกรณ์
(2)]]+Table1351452010[[#This Row],[Total 
คอมฯค่าเชื่อมสัญญาณ
(3)]]</f>
        <v>0</v>
      </c>
      <c r="AK131" s="555"/>
      <c r="AL131" s="555"/>
      <c r="AM131" s="556"/>
      <c r="AN131" s="680"/>
    </row>
    <row r="132" spans="1:40" s="584" customFormat="1" ht="27" hidden="1" customHeight="1">
      <c r="A132" s="557"/>
      <c r="B132" s="560"/>
      <c r="C132" s="558"/>
      <c r="D132" s="673"/>
      <c r="E132" s="559"/>
      <c r="F132" s="559"/>
      <c r="G132" s="585"/>
      <c r="H132" s="651"/>
      <c r="I132" s="561"/>
      <c r="J132" s="559"/>
      <c r="K132" s="559"/>
      <c r="L132" s="562"/>
      <c r="M132" s="562"/>
      <c r="N132" s="563"/>
      <c r="O132" s="564"/>
      <c r="P132" s="565"/>
      <c r="Q132" s="664"/>
      <c r="R132" s="665"/>
      <c r="S132" s="665"/>
      <c r="T132" s="665"/>
      <c r="U132" s="666"/>
      <c r="V132" s="392"/>
      <c r="W132" s="410"/>
      <c r="X132" s="412"/>
      <c r="Y132" s="390"/>
      <c r="Z132" s="393"/>
      <c r="AA132" s="647" t="e">
        <f t="shared" ref="AA132" si="31">AA131/Z131</f>
        <v>#DIV/0!</v>
      </c>
      <c r="AB132" s="596"/>
      <c r="AC132" s="596"/>
      <c r="AD132" s="620"/>
      <c r="AE132" s="407"/>
      <c r="AF132" s="410"/>
      <c r="AG132" s="410"/>
      <c r="AH132" s="394"/>
      <c r="AI132" s="404"/>
      <c r="AJ132" s="566"/>
      <c r="AK132" s="567"/>
      <c r="AL132" s="567"/>
      <c r="AM132" s="568"/>
      <c r="AN132" s="681"/>
    </row>
    <row r="133" spans="1:40" s="584" customFormat="1" ht="27" hidden="1" customHeight="1">
      <c r="A133" s="557"/>
      <c r="B133" s="560"/>
      <c r="C133" s="557"/>
      <c r="D133" s="674"/>
      <c r="E133" s="569"/>
      <c r="F133" s="569"/>
      <c r="G133" s="585"/>
      <c r="H133" s="651"/>
      <c r="I133" s="561"/>
      <c r="J133" s="559"/>
      <c r="K133" s="559"/>
      <c r="L133" s="562"/>
      <c r="M133" s="562"/>
      <c r="N133" s="559"/>
      <c r="O133" s="570"/>
      <c r="P133" s="571"/>
      <c r="Q133" s="667"/>
      <c r="R133" s="668"/>
      <c r="S133" s="668"/>
      <c r="T133" s="668"/>
      <c r="U133" s="669"/>
      <c r="V133" s="392"/>
      <c r="W133" s="410"/>
      <c r="X133" s="412"/>
      <c r="Y133" s="390"/>
      <c r="Z133" s="393"/>
      <c r="AA133" s="393"/>
      <c r="AB133" s="596"/>
      <c r="AC133" s="596"/>
      <c r="AD133" s="621"/>
      <c r="AE133" s="408"/>
      <c r="AF133" s="410"/>
      <c r="AG133" s="410"/>
      <c r="AH133" s="394"/>
      <c r="AI133" s="404"/>
      <c r="AJ133" s="566"/>
      <c r="AK133" s="567"/>
      <c r="AL133" s="567"/>
      <c r="AM133" s="568"/>
      <c r="AN133" s="681"/>
    </row>
    <row r="134" spans="1:40" s="584" customFormat="1" ht="27" hidden="1" customHeight="1" thickBot="1">
      <c r="A134" s="572"/>
      <c r="B134" s="574"/>
      <c r="C134" s="572"/>
      <c r="D134" s="675"/>
      <c r="E134" s="573"/>
      <c r="F134" s="573"/>
      <c r="G134" s="575"/>
      <c r="H134" s="652"/>
      <c r="I134" s="576"/>
      <c r="J134" s="577"/>
      <c r="K134" s="577"/>
      <c r="L134" s="578"/>
      <c r="M134" s="578"/>
      <c r="N134" s="577"/>
      <c r="O134" s="579"/>
      <c r="P134" s="580"/>
      <c r="Q134" s="670"/>
      <c r="R134" s="671"/>
      <c r="S134" s="671"/>
      <c r="T134" s="671"/>
      <c r="U134" s="671"/>
      <c r="V134" s="395"/>
      <c r="W134" s="411"/>
      <c r="X134" s="413"/>
      <c r="Y134" s="391"/>
      <c r="Z134" s="389"/>
      <c r="AA134" s="648"/>
      <c r="AB134" s="597"/>
      <c r="AC134" s="597"/>
      <c r="AD134" s="622"/>
      <c r="AE134" s="409"/>
      <c r="AF134" s="411"/>
      <c r="AG134" s="411"/>
      <c r="AH134" s="396"/>
      <c r="AI134" s="405"/>
      <c r="AJ134" s="581"/>
      <c r="AK134" s="582"/>
      <c r="AL134" s="582"/>
      <c r="AM134" s="583"/>
      <c r="AN134" s="682"/>
    </row>
    <row r="135" spans="1:40" s="584" customFormat="1" ht="27" hidden="1" customHeight="1">
      <c r="A135" s="624"/>
      <c r="B135" s="770"/>
      <c r="C135" s="625"/>
      <c r="D135" s="672"/>
      <c r="E135" s="626"/>
      <c r="F135" s="626"/>
      <c r="G135" s="627"/>
      <c r="H135" s="768"/>
      <c r="I135" s="630"/>
      <c r="J135" s="628"/>
      <c r="K135" s="628"/>
      <c r="L135" s="599"/>
      <c r="M135" s="600">
        <f>IF(Table1351452010[[#This Row],[หัก ณ ที่จ่าย
(ค่าบริการ)]]="มี",Table1351452010[[#This Row],[ค่าบริการเฉลี่ยต่อเดือน]]*3%,0)</f>
        <v>0</v>
      </c>
      <c r="N135" s="552">
        <f>(Table1351452010[[#This Row],[ค่าบริการเฉลี่ยต่อเดือน]]-Table1351452010[[#This Row],[ต้นทุนช่องรายการ
(ถ้ามี)]]-Table1351452010[[#This Row],[มูลค่าหัก 3%]])</f>
        <v>0</v>
      </c>
      <c r="O135"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35" s="761">
        <f>Table1351452010[[#This Row],[ระยะเวลาสัญญา
(เดือน)]]/$P$5</f>
        <v>0</v>
      </c>
      <c r="Q135" s="765"/>
      <c r="R135" s="766"/>
      <c r="S135" s="766"/>
      <c r="T135" s="766"/>
      <c r="U135" s="764"/>
      <c r="V135" s="629"/>
      <c r="W135" s="601"/>
      <c r="X135" s="602">
        <f>IF(Table1351452010[[#This Row],[หัก ณ ที่จ่าย
(ค่าติตั้ง)]]="มี",Table1351452010[[#This Row],[ค่าเชื่อมสัญญาณ/
ค่าติดตั้ง/
ค่าขายอุปกรณ์]]*$X$4,0)</f>
        <v>0</v>
      </c>
      <c r="Y135" s="397">
        <f>Table1351452010[[#This Row],[ค่าเชื่อมสัญญาณ/
ค่าติดตั้ง/
ค่าขายอุปกรณ์]]-Table1351452010[[#This Row],[มูลค่าหัก 3%
(ค่าติดตั้ง)]]</f>
        <v>0</v>
      </c>
      <c r="Z135" s="331"/>
      <c r="AA135" s="646">
        <f>Table1351452010[[#This Row],[ค่าเชื่อมสัญญาณ/
ค่าติดตั้ง/
ค่าขายอุปกรณ์
(เรียกเก็บสุทธิ)]]-Table1351452010[[#This Row],[ต้นทุน]]</f>
        <v>0</v>
      </c>
      <c r="AB135" s="789" t="str">
        <f>IF(Table1351452010[[#This Row],[ส่วนต่างกำไร]]&lt;(Table1351452010[[#This Row],[ต้นทุน]]*5%),Table1351452010[[#This Row],[ค่าเชื่อมสัญญาณ/
ค่าติดตั้ง/
ค่าขายอุปกรณ์
(เรียกเก็บสุทธิ)]]*$AB$3,"0")</f>
        <v>0</v>
      </c>
      <c r="AC135" s="789">
        <f>IF(Table1351452010[[#This Row],[ส่วนต่างกำไร]]&gt;=(Table1351452010[[#This Row],[ต้นทุน]]*5%),Table1351452010[[#This Row],[ค่าเชื่อมสัญญาณ/
ค่าติดตั้ง/
ค่าขายอุปกรณ์
(เรียกเก็บสุทธิ)]]*$AC$3,"0")</f>
        <v>0</v>
      </c>
      <c r="AD135" s="619">
        <f>SUM(Table1351452010[[#This Row],[คอมฯ
 5%]:[คอมฯ
10%]])</f>
        <v>0</v>
      </c>
      <c r="AE135" s="631"/>
      <c r="AF135" s="601"/>
      <c r="AG135" s="623">
        <f>IF(Table1351452010[[#This Row],[หัก ณ ที่จ่าย
(ค่าเชื่อมสัญญาณ)]]="มี",Table1351452010[[#This Row],[ค่าเชื่อมสัญญาณ]]*$AG$4,0)</f>
        <v>0</v>
      </c>
      <c r="AH135" s="398">
        <f>Table1351452010[[#This Row],[ค่าเชื่อมสัญญาณ]]-Table1351452010[[#This Row],[มูลค่าหัก 3%
(ค่าเชื่อมสัญญาณ)]]</f>
        <v>0</v>
      </c>
      <c r="AI135" s="403">
        <f>Table1351452010[[#This Row],[ค่าเชื่อมสัญญาณ
(เรียกเก็บสุทธิ)]]*$AI$3</f>
        <v>0</v>
      </c>
      <c r="AJ135" s="554">
        <f>Table1351452010[[#This Row],[สั่งจ่ายปีที่1]]+Table1351452010[[#This Row],[Total
ค่าเชื่มสัญญาณ/ค่าติดตั้ง/
ค่าขายอุปกรณ์
(2)]]+Table1351452010[[#This Row],[Total 
คอมฯค่าเชื่อมสัญญาณ
(3)]]</f>
        <v>0</v>
      </c>
      <c r="AK135" s="555"/>
      <c r="AL135" s="555"/>
      <c r="AM135" s="556"/>
      <c r="AN135" s="680"/>
    </row>
    <row r="136" spans="1:40" s="584" customFormat="1" ht="27" hidden="1" customHeight="1">
      <c r="A136" s="557"/>
      <c r="B136" s="560"/>
      <c r="C136" s="558"/>
      <c r="D136" s="673"/>
      <c r="E136" s="559"/>
      <c r="F136" s="559"/>
      <c r="G136" s="585"/>
      <c r="H136" s="651"/>
      <c r="I136" s="561"/>
      <c r="J136" s="559"/>
      <c r="K136" s="559"/>
      <c r="L136" s="562"/>
      <c r="M136" s="562"/>
      <c r="N136" s="563"/>
      <c r="O136" s="564"/>
      <c r="P136" s="565"/>
      <c r="Q136" s="664"/>
      <c r="R136" s="665"/>
      <c r="S136" s="665"/>
      <c r="T136" s="665"/>
      <c r="U136" s="666"/>
      <c r="V136" s="392"/>
      <c r="W136" s="410"/>
      <c r="X136" s="412"/>
      <c r="Y136" s="390"/>
      <c r="Z136" s="393"/>
      <c r="AA136" s="647" t="e">
        <f t="shared" ref="AA136" si="32">AA135/Z135</f>
        <v>#DIV/0!</v>
      </c>
      <c r="AB136" s="596"/>
      <c r="AC136" s="596"/>
      <c r="AD136" s="620"/>
      <c r="AE136" s="407"/>
      <c r="AF136" s="410"/>
      <c r="AG136" s="410"/>
      <c r="AH136" s="394"/>
      <c r="AI136" s="404"/>
      <c r="AJ136" s="566"/>
      <c r="AK136" s="567"/>
      <c r="AL136" s="567"/>
      <c r="AM136" s="568"/>
      <c r="AN136" s="681"/>
    </row>
    <row r="137" spans="1:40" s="584" customFormat="1" ht="27" hidden="1" customHeight="1">
      <c r="A137" s="557"/>
      <c r="B137" s="560"/>
      <c r="C137" s="557"/>
      <c r="D137" s="674"/>
      <c r="E137" s="569"/>
      <c r="F137" s="569"/>
      <c r="G137" s="585"/>
      <c r="H137" s="651"/>
      <c r="I137" s="561"/>
      <c r="J137" s="559"/>
      <c r="K137" s="559"/>
      <c r="L137" s="562"/>
      <c r="M137" s="562"/>
      <c r="N137" s="559"/>
      <c r="O137" s="570"/>
      <c r="P137" s="571"/>
      <c r="Q137" s="667"/>
      <c r="R137" s="668"/>
      <c r="S137" s="668"/>
      <c r="T137" s="668"/>
      <c r="U137" s="669"/>
      <c r="V137" s="392"/>
      <c r="W137" s="410"/>
      <c r="X137" s="412"/>
      <c r="Y137" s="390"/>
      <c r="Z137" s="393"/>
      <c r="AA137" s="393"/>
      <c r="AB137" s="596"/>
      <c r="AC137" s="596"/>
      <c r="AD137" s="621"/>
      <c r="AE137" s="408"/>
      <c r="AF137" s="410"/>
      <c r="AG137" s="410"/>
      <c r="AH137" s="394"/>
      <c r="AI137" s="404"/>
      <c r="AJ137" s="566"/>
      <c r="AK137" s="567"/>
      <c r="AL137" s="567"/>
      <c r="AM137" s="568"/>
      <c r="AN137" s="681"/>
    </row>
    <row r="138" spans="1:40" s="584" customFormat="1" ht="27" hidden="1" customHeight="1" thickBot="1">
      <c r="A138" s="572"/>
      <c r="B138" s="574"/>
      <c r="C138" s="572"/>
      <c r="D138" s="675"/>
      <c r="E138" s="573"/>
      <c r="F138" s="573"/>
      <c r="G138" s="575"/>
      <c r="H138" s="652"/>
      <c r="I138" s="576"/>
      <c r="J138" s="577"/>
      <c r="K138" s="577"/>
      <c r="L138" s="578"/>
      <c r="M138" s="578"/>
      <c r="N138" s="577"/>
      <c r="O138" s="579"/>
      <c r="P138" s="580"/>
      <c r="Q138" s="670"/>
      <c r="R138" s="671"/>
      <c r="S138" s="671"/>
      <c r="T138" s="671"/>
      <c r="U138" s="671"/>
      <c r="V138" s="395"/>
      <c r="W138" s="411"/>
      <c r="X138" s="413"/>
      <c r="Y138" s="391"/>
      <c r="Z138" s="389"/>
      <c r="AA138" s="648"/>
      <c r="AB138" s="597"/>
      <c r="AC138" s="597"/>
      <c r="AD138" s="622"/>
      <c r="AE138" s="409"/>
      <c r="AF138" s="411"/>
      <c r="AG138" s="411"/>
      <c r="AH138" s="396"/>
      <c r="AI138" s="405"/>
      <c r="AJ138" s="581"/>
      <c r="AK138" s="582"/>
      <c r="AL138" s="582"/>
      <c r="AM138" s="583"/>
      <c r="AN138" s="682"/>
    </row>
    <row r="139" spans="1:40" s="584" customFormat="1" ht="27" hidden="1" customHeight="1">
      <c r="A139" s="624"/>
      <c r="B139" s="770"/>
      <c r="C139" s="625"/>
      <c r="D139" s="672"/>
      <c r="E139" s="626"/>
      <c r="F139" s="626"/>
      <c r="G139" s="627"/>
      <c r="H139" s="768"/>
      <c r="I139" s="630"/>
      <c r="J139" s="628"/>
      <c r="K139" s="628"/>
      <c r="L139" s="599"/>
      <c r="M139" s="600">
        <f>IF(Table1351452010[[#This Row],[หัก ณ ที่จ่าย
(ค่าบริการ)]]="มี",Table1351452010[[#This Row],[ค่าบริการเฉลี่ยต่อเดือน]]*3%,0)</f>
        <v>0</v>
      </c>
      <c r="N139" s="552">
        <f>(Table1351452010[[#This Row],[ค่าบริการเฉลี่ยต่อเดือน]]-Table1351452010[[#This Row],[ต้นทุนช่องรายการ
(ถ้ามี)]]-Table1351452010[[#This Row],[มูลค่าหัก 3%]])</f>
        <v>0</v>
      </c>
      <c r="O139"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39" s="761">
        <f>Table1351452010[[#This Row],[ระยะเวลาสัญญา
(เดือน)]]/$P$5</f>
        <v>0</v>
      </c>
      <c r="Q139" s="765"/>
      <c r="R139" s="766"/>
      <c r="S139" s="766"/>
      <c r="T139" s="766"/>
      <c r="U139" s="764"/>
      <c r="V139" s="629"/>
      <c r="W139" s="601"/>
      <c r="X139" s="602">
        <f>IF(Table1351452010[[#This Row],[หัก ณ ที่จ่าย
(ค่าติตั้ง)]]="มี",Table1351452010[[#This Row],[ค่าเชื่อมสัญญาณ/
ค่าติดตั้ง/
ค่าขายอุปกรณ์]]*$X$4,0)</f>
        <v>0</v>
      </c>
      <c r="Y139" s="397">
        <f>Table1351452010[[#This Row],[ค่าเชื่อมสัญญาณ/
ค่าติดตั้ง/
ค่าขายอุปกรณ์]]-Table1351452010[[#This Row],[มูลค่าหัก 3%
(ค่าติดตั้ง)]]</f>
        <v>0</v>
      </c>
      <c r="Z139" s="331"/>
      <c r="AA139" s="646">
        <f>Table1351452010[[#This Row],[ค่าเชื่อมสัญญาณ/
ค่าติดตั้ง/
ค่าขายอุปกรณ์
(เรียกเก็บสุทธิ)]]-Table1351452010[[#This Row],[ต้นทุน]]</f>
        <v>0</v>
      </c>
      <c r="AB139" s="789" t="str">
        <f>IF(Table1351452010[[#This Row],[ส่วนต่างกำไร]]&lt;(Table1351452010[[#This Row],[ต้นทุน]]*5%),Table1351452010[[#This Row],[ค่าเชื่อมสัญญาณ/
ค่าติดตั้ง/
ค่าขายอุปกรณ์
(เรียกเก็บสุทธิ)]]*$AB$3,"0")</f>
        <v>0</v>
      </c>
      <c r="AC139" s="789">
        <f>IF(Table1351452010[[#This Row],[ส่วนต่างกำไร]]&gt;=(Table1351452010[[#This Row],[ต้นทุน]]*5%),Table1351452010[[#This Row],[ค่าเชื่อมสัญญาณ/
ค่าติดตั้ง/
ค่าขายอุปกรณ์
(เรียกเก็บสุทธิ)]]*$AC$3,"0")</f>
        <v>0</v>
      </c>
      <c r="AD139" s="619">
        <f>SUM(Table1351452010[[#This Row],[คอมฯ
 5%]:[คอมฯ
10%]])</f>
        <v>0</v>
      </c>
      <c r="AE139" s="631"/>
      <c r="AF139" s="601"/>
      <c r="AG139" s="623">
        <f>IF(Table1351452010[[#This Row],[หัก ณ ที่จ่าย
(ค่าเชื่อมสัญญาณ)]]="มี",Table1351452010[[#This Row],[ค่าเชื่อมสัญญาณ]]*$AG$4,0)</f>
        <v>0</v>
      </c>
      <c r="AH139" s="398">
        <f>Table1351452010[[#This Row],[ค่าเชื่อมสัญญาณ]]-Table1351452010[[#This Row],[มูลค่าหัก 3%
(ค่าเชื่อมสัญญาณ)]]</f>
        <v>0</v>
      </c>
      <c r="AI139" s="403">
        <f>Table1351452010[[#This Row],[ค่าเชื่อมสัญญาณ
(เรียกเก็บสุทธิ)]]*$AI$3</f>
        <v>0</v>
      </c>
      <c r="AJ139" s="554">
        <f>Table1351452010[[#This Row],[สั่งจ่ายปีที่1]]+Table1351452010[[#This Row],[Total
ค่าเชื่มสัญญาณ/ค่าติดตั้ง/
ค่าขายอุปกรณ์
(2)]]+Table1351452010[[#This Row],[Total 
คอมฯค่าเชื่อมสัญญาณ
(3)]]</f>
        <v>0</v>
      </c>
      <c r="AK139" s="555"/>
      <c r="AL139" s="555"/>
      <c r="AM139" s="556"/>
      <c r="AN139" s="680"/>
    </row>
    <row r="140" spans="1:40" s="584" customFormat="1" ht="27" hidden="1" customHeight="1">
      <c r="A140" s="557"/>
      <c r="B140" s="560"/>
      <c r="C140" s="558"/>
      <c r="D140" s="673"/>
      <c r="E140" s="559"/>
      <c r="F140" s="559"/>
      <c r="G140" s="585"/>
      <c r="H140" s="651"/>
      <c r="I140" s="561"/>
      <c r="J140" s="559"/>
      <c r="K140" s="559"/>
      <c r="L140" s="562"/>
      <c r="M140" s="562"/>
      <c r="N140" s="563"/>
      <c r="O140" s="564"/>
      <c r="P140" s="565"/>
      <c r="Q140" s="664"/>
      <c r="R140" s="665"/>
      <c r="S140" s="665"/>
      <c r="T140" s="665"/>
      <c r="U140" s="666"/>
      <c r="V140" s="392"/>
      <c r="W140" s="410"/>
      <c r="X140" s="412"/>
      <c r="Y140" s="390"/>
      <c r="Z140" s="393"/>
      <c r="AA140" s="647" t="e">
        <f t="shared" ref="AA140" si="33">AA139/Z139</f>
        <v>#DIV/0!</v>
      </c>
      <c r="AB140" s="596"/>
      <c r="AC140" s="596"/>
      <c r="AD140" s="620"/>
      <c r="AE140" s="407"/>
      <c r="AF140" s="410"/>
      <c r="AG140" s="410"/>
      <c r="AH140" s="394"/>
      <c r="AI140" s="404"/>
      <c r="AJ140" s="566"/>
      <c r="AK140" s="567"/>
      <c r="AL140" s="567"/>
      <c r="AM140" s="568"/>
      <c r="AN140" s="681"/>
    </row>
    <row r="141" spans="1:40" s="584" customFormat="1" ht="27" hidden="1" customHeight="1">
      <c r="A141" s="557"/>
      <c r="B141" s="560"/>
      <c r="C141" s="557"/>
      <c r="D141" s="674"/>
      <c r="E141" s="569"/>
      <c r="F141" s="569"/>
      <c r="G141" s="585"/>
      <c r="H141" s="651"/>
      <c r="I141" s="561"/>
      <c r="J141" s="559"/>
      <c r="K141" s="559"/>
      <c r="L141" s="562"/>
      <c r="M141" s="562"/>
      <c r="N141" s="559"/>
      <c r="O141" s="570"/>
      <c r="P141" s="571"/>
      <c r="Q141" s="667"/>
      <c r="R141" s="668"/>
      <c r="S141" s="668"/>
      <c r="T141" s="668"/>
      <c r="U141" s="669"/>
      <c r="V141" s="392"/>
      <c r="W141" s="410"/>
      <c r="X141" s="412"/>
      <c r="Y141" s="390"/>
      <c r="Z141" s="393"/>
      <c r="AA141" s="393"/>
      <c r="AB141" s="596"/>
      <c r="AC141" s="596"/>
      <c r="AD141" s="621"/>
      <c r="AE141" s="408"/>
      <c r="AF141" s="410"/>
      <c r="AG141" s="410"/>
      <c r="AH141" s="394"/>
      <c r="AI141" s="404"/>
      <c r="AJ141" s="566"/>
      <c r="AK141" s="567"/>
      <c r="AL141" s="567"/>
      <c r="AM141" s="568"/>
      <c r="AN141" s="681"/>
    </row>
    <row r="142" spans="1:40" s="584" customFormat="1" ht="27" hidden="1" customHeight="1" thickBot="1">
      <c r="A142" s="572"/>
      <c r="B142" s="574"/>
      <c r="C142" s="572"/>
      <c r="D142" s="675"/>
      <c r="E142" s="573"/>
      <c r="F142" s="573"/>
      <c r="G142" s="575"/>
      <c r="H142" s="652"/>
      <c r="I142" s="576"/>
      <c r="J142" s="577"/>
      <c r="K142" s="577"/>
      <c r="L142" s="578"/>
      <c r="M142" s="578"/>
      <c r="N142" s="577"/>
      <c r="O142" s="579"/>
      <c r="P142" s="580"/>
      <c r="Q142" s="670"/>
      <c r="R142" s="671"/>
      <c r="S142" s="671"/>
      <c r="T142" s="671"/>
      <c r="U142" s="671"/>
      <c r="V142" s="395"/>
      <c r="W142" s="411"/>
      <c r="X142" s="413"/>
      <c r="Y142" s="391"/>
      <c r="Z142" s="389"/>
      <c r="AA142" s="648"/>
      <c r="AB142" s="597"/>
      <c r="AC142" s="597"/>
      <c r="AD142" s="622"/>
      <c r="AE142" s="409"/>
      <c r="AF142" s="411"/>
      <c r="AG142" s="411"/>
      <c r="AH142" s="396"/>
      <c r="AI142" s="405"/>
      <c r="AJ142" s="581"/>
      <c r="AK142" s="582"/>
      <c r="AL142" s="582"/>
      <c r="AM142" s="583"/>
      <c r="AN142" s="682"/>
    </row>
    <row r="143" spans="1:40" s="584" customFormat="1" ht="27" hidden="1" customHeight="1">
      <c r="A143" s="624"/>
      <c r="B143" s="770"/>
      <c r="C143" s="625"/>
      <c r="D143" s="672"/>
      <c r="E143" s="626"/>
      <c r="F143" s="626"/>
      <c r="G143" s="627"/>
      <c r="H143" s="768"/>
      <c r="I143" s="630"/>
      <c r="J143" s="628"/>
      <c r="K143" s="628"/>
      <c r="L143" s="599"/>
      <c r="M143" s="600">
        <f>IF(Table1351452010[[#This Row],[หัก ณ ที่จ่าย
(ค่าบริการ)]]="มี",Table1351452010[[#This Row],[ค่าบริการเฉลี่ยต่อเดือน]]*3%,0)</f>
        <v>0</v>
      </c>
      <c r="N143" s="552">
        <f>(Table1351452010[[#This Row],[ค่าบริการเฉลี่ยต่อเดือน]]-Table1351452010[[#This Row],[ต้นทุนช่องรายการ
(ถ้ามี)]]-Table1351452010[[#This Row],[มูลค่าหัก 3%]])</f>
        <v>0</v>
      </c>
      <c r="O143" s="55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143" s="761">
        <f>Table1351452010[[#This Row],[ระยะเวลาสัญญา
(เดือน)]]/$P$5</f>
        <v>0</v>
      </c>
      <c r="Q143" s="765"/>
      <c r="R143" s="766"/>
      <c r="S143" s="766"/>
      <c r="T143" s="766"/>
      <c r="U143" s="764"/>
      <c r="V143" s="629"/>
      <c r="W143" s="601"/>
      <c r="X143" s="602">
        <f>IF(Table1351452010[[#This Row],[หัก ณ ที่จ่าย
(ค่าติตั้ง)]]="มี",Table1351452010[[#This Row],[ค่าเชื่อมสัญญาณ/
ค่าติดตั้ง/
ค่าขายอุปกรณ์]]*$X$4,0)</f>
        <v>0</v>
      </c>
      <c r="Y143" s="397">
        <f>Table1351452010[[#This Row],[ค่าเชื่อมสัญญาณ/
ค่าติดตั้ง/
ค่าขายอุปกรณ์]]-Table1351452010[[#This Row],[มูลค่าหัก 3%
(ค่าติดตั้ง)]]</f>
        <v>0</v>
      </c>
      <c r="Z143" s="331"/>
      <c r="AA143" s="646">
        <f>Table1351452010[[#This Row],[ค่าเชื่อมสัญญาณ/
ค่าติดตั้ง/
ค่าขายอุปกรณ์
(เรียกเก็บสุทธิ)]]-Table1351452010[[#This Row],[ต้นทุน]]</f>
        <v>0</v>
      </c>
      <c r="AB143" s="789" t="str">
        <f>IF(Table1351452010[[#This Row],[ส่วนต่างกำไร]]&lt;(Table1351452010[[#This Row],[ต้นทุน]]*5%),Table1351452010[[#This Row],[ค่าเชื่อมสัญญาณ/
ค่าติดตั้ง/
ค่าขายอุปกรณ์
(เรียกเก็บสุทธิ)]]*$AB$3,"0")</f>
        <v>0</v>
      </c>
      <c r="AC143" s="789">
        <f>IF(Table1351452010[[#This Row],[ส่วนต่างกำไร]]&gt;=(Table1351452010[[#This Row],[ต้นทุน]]*5%),Table1351452010[[#This Row],[ค่าเชื่อมสัญญาณ/
ค่าติดตั้ง/
ค่าขายอุปกรณ์
(เรียกเก็บสุทธิ)]]*$AC$3,"0")</f>
        <v>0</v>
      </c>
      <c r="AD143" s="619">
        <f>SUM(Table1351452010[[#This Row],[คอมฯ
 5%]:[คอมฯ
10%]])</f>
        <v>0</v>
      </c>
      <c r="AE143" s="631"/>
      <c r="AF143" s="601"/>
      <c r="AG143" s="623">
        <f>IF(Table1351452010[[#This Row],[หัก ณ ที่จ่าย
(ค่าเชื่อมสัญญาณ)]]="มี",Table1351452010[[#This Row],[ค่าเชื่อมสัญญาณ]]*$AG$4,0)</f>
        <v>0</v>
      </c>
      <c r="AH143" s="398">
        <f>Table1351452010[[#This Row],[ค่าเชื่อมสัญญาณ]]-Table1351452010[[#This Row],[มูลค่าหัก 3%
(ค่าเชื่อมสัญญาณ)]]</f>
        <v>0</v>
      </c>
      <c r="AI143" s="403">
        <f>Table1351452010[[#This Row],[ค่าเชื่อมสัญญาณ
(เรียกเก็บสุทธิ)]]*$AI$3</f>
        <v>0</v>
      </c>
      <c r="AJ143" s="554">
        <f>Table1351452010[[#This Row],[สั่งจ่ายปีที่1]]+Table1351452010[[#This Row],[Total
ค่าเชื่มสัญญาณ/ค่าติดตั้ง/
ค่าขายอุปกรณ์
(2)]]+Table1351452010[[#This Row],[Total 
คอมฯค่าเชื่อมสัญญาณ
(3)]]</f>
        <v>0</v>
      </c>
      <c r="AK143" s="555"/>
      <c r="AL143" s="555"/>
      <c r="AM143" s="556"/>
      <c r="AN143" s="680"/>
    </row>
    <row r="144" spans="1:40" s="584" customFormat="1" ht="27" hidden="1" customHeight="1">
      <c r="A144" s="557"/>
      <c r="B144" s="560"/>
      <c r="C144" s="558"/>
      <c r="D144" s="673"/>
      <c r="E144" s="559"/>
      <c r="F144" s="559"/>
      <c r="G144" s="585"/>
      <c r="H144" s="651"/>
      <c r="I144" s="561"/>
      <c r="J144" s="559"/>
      <c r="K144" s="559"/>
      <c r="L144" s="562"/>
      <c r="M144" s="562"/>
      <c r="N144" s="563"/>
      <c r="O144" s="564"/>
      <c r="P144" s="565"/>
      <c r="Q144" s="664"/>
      <c r="R144" s="665"/>
      <c r="S144" s="665"/>
      <c r="T144" s="665"/>
      <c r="U144" s="666"/>
      <c r="V144" s="392"/>
      <c r="W144" s="410"/>
      <c r="X144" s="412"/>
      <c r="Y144" s="390"/>
      <c r="Z144" s="393"/>
      <c r="AA144" s="647" t="e">
        <f t="shared" ref="AA144" si="34">AA143/Z143</f>
        <v>#DIV/0!</v>
      </c>
      <c r="AB144" s="596"/>
      <c r="AC144" s="596"/>
      <c r="AD144" s="620"/>
      <c r="AE144" s="407"/>
      <c r="AF144" s="410"/>
      <c r="AG144" s="410"/>
      <c r="AH144" s="394"/>
      <c r="AI144" s="404"/>
      <c r="AJ144" s="566"/>
      <c r="AK144" s="567"/>
      <c r="AL144" s="567"/>
      <c r="AM144" s="568"/>
      <c r="AN144" s="681"/>
    </row>
    <row r="145" spans="1:42" s="584" customFormat="1" ht="27" hidden="1" customHeight="1">
      <c r="A145" s="557"/>
      <c r="B145" s="560"/>
      <c r="C145" s="557"/>
      <c r="D145" s="674"/>
      <c r="E145" s="569"/>
      <c r="F145" s="569"/>
      <c r="G145" s="585"/>
      <c r="H145" s="651"/>
      <c r="I145" s="561"/>
      <c r="J145" s="559"/>
      <c r="K145" s="559"/>
      <c r="L145" s="562"/>
      <c r="M145" s="562"/>
      <c r="N145" s="559"/>
      <c r="O145" s="570"/>
      <c r="P145" s="571"/>
      <c r="Q145" s="667"/>
      <c r="R145" s="668"/>
      <c r="S145" s="668"/>
      <c r="T145" s="668"/>
      <c r="U145" s="669"/>
      <c r="V145" s="392"/>
      <c r="W145" s="410"/>
      <c r="X145" s="412"/>
      <c r="Y145" s="390"/>
      <c r="Z145" s="393"/>
      <c r="AA145" s="393"/>
      <c r="AB145" s="596"/>
      <c r="AC145" s="596"/>
      <c r="AD145" s="621"/>
      <c r="AE145" s="408"/>
      <c r="AF145" s="410"/>
      <c r="AG145" s="410"/>
      <c r="AH145" s="394"/>
      <c r="AI145" s="404"/>
      <c r="AJ145" s="566"/>
      <c r="AK145" s="567"/>
      <c r="AL145" s="567"/>
      <c r="AM145" s="568"/>
      <c r="AN145" s="681"/>
    </row>
    <row r="146" spans="1:42" s="584" customFormat="1" ht="27" hidden="1" customHeight="1" thickBot="1">
      <c r="A146" s="572"/>
      <c r="B146" s="574"/>
      <c r="C146" s="572"/>
      <c r="D146" s="675"/>
      <c r="E146" s="573"/>
      <c r="F146" s="573"/>
      <c r="G146" s="575"/>
      <c r="H146" s="652"/>
      <c r="I146" s="576"/>
      <c r="J146" s="577"/>
      <c r="K146" s="577"/>
      <c r="L146" s="578"/>
      <c r="M146" s="578"/>
      <c r="N146" s="577"/>
      <c r="O146" s="579"/>
      <c r="P146" s="580"/>
      <c r="Q146" s="670"/>
      <c r="R146" s="671"/>
      <c r="S146" s="671"/>
      <c r="T146" s="671"/>
      <c r="U146" s="671"/>
      <c r="V146" s="395"/>
      <c r="W146" s="411"/>
      <c r="X146" s="413"/>
      <c r="Y146" s="391"/>
      <c r="Z146" s="389"/>
      <c r="AA146" s="648"/>
      <c r="AB146" s="597"/>
      <c r="AC146" s="597"/>
      <c r="AD146" s="622"/>
      <c r="AE146" s="409"/>
      <c r="AF146" s="411"/>
      <c r="AG146" s="411"/>
      <c r="AH146" s="396"/>
      <c r="AI146" s="405"/>
      <c r="AJ146" s="581"/>
      <c r="AK146" s="582"/>
      <c r="AL146" s="582"/>
      <c r="AM146" s="583"/>
      <c r="AN146" s="682"/>
    </row>
    <row r="147" spans="1:42" s="589" customFormat="1" ht="40.200000000000003" customHeight="1" thickBot="1">
      <c r="A147" s="612"/>
      <c r="B147" s="613"/>
      <c r="C147" s="612"/>
      <c r="D147" s="613" t="s">
        <v>5</v>
      </c>
      <c r="E147" s="613"/>
      <c r="F147" s="613"/>
      <c r="G147" s="614"/>
      <c r="H147" s="653"/>
      <c r="I147" s="614"/>
      <c r="J147" s="587">
        <f>SUBTOTAL(109,Table1351452010[ค่าบริการเฉลี่ยต่อเดือน])</f>
        <v>309411</v>
      </c>
      <c r="K147" s="587"/>
      <c r="L147" s="615"/>
      <c r="M147" s="616">
        <f>SUM(M7:M146)</f>
        <v>0</v>
      </c>
      <c r="N147" s="587">
        <f>SUM(N7:N146)</f>
        <v>309411</v>
      </c>
      <c r="O147" s="587">
        <f>SUM(O7:O146)</f>
        <v>485342.49599999998</v>
      </c>
      <c r="P147" s="617"/>
      <c r="Q147" s="587">
        <f>Q7+Q11+Q15+Q19+Q23+Q27+Q31+Q35+Q39+Q43+Q47+Q51+Q55+Q59+Q63+Q67+Q71+Q75+Q79+Q83+Q87+Q91+Q95+Q99+Q103+Q107+Q111+Q115</f>
        <v>197854.71599999999</v>
      </c>
      <c r="R147" s="587">
        <f t="shared" ref="R147:U147" si="35">R7+R11+R15+R19+R23+R27+R31+R35+R39+R43+R47+R51+R55+R59+R63+R67+R71+R75+R79+R83+R87+R91+R95+R99+R103+R107+R111+R115</f>
        <v>169056.66</v>
      </c>
      <c r="S147" s="587">
        <f t="shared" si="35"/>
        <v>59918.159999999989</v>
      </c>
      <c r="T147" s="587">
        <f t="shared" si="35"/>
        <v>29256.48</v>
      </c>
      <c r="U147" s="587">
        <f t="shared" si="35"/>
        <v>29256.48</v>
      </c>
      <c r="V147" s="406">
        <f>SUM(V7:V146)</f>
        <v>357600</v>
      </c>
      <c r="W147" s="618"/>
      <c r="X147" s="406">
        <f>SUM(X7:X146)</f>
        <v>0</v>
      </c>
      <c r="Y147" s="406">
        <f>SUM(Y7:Y146)</f>
        <v>357600</v>
      </c>
      <c r="Z147" s="406">
        <f>SUM(Z7:Z146)</f>
        <v>1701897.81</v>
      </c>
      <c r="AA147" s="406">
        <f>AA7+AA15+AA23+AA27+AA31+AA75+AA83+AA91+AA99+AA103+AA107+AA111+AA143</f>
        <v>-779156.22</v>
      </c>
      <c r="AB147" s="587">
        <f>SUM(AB7:AB146)</f>
        <v>16300</v>
      </c>
      <c r="AC147" s="587">
        <f>SUM(AC7:AC146)</f>
        <v>3160</v>
      </c>
      <c r="AD147" s="587">
        <f>SUM(AD7:AD146)</f>
        <v>19460</v>
      </c>
      <c r="AE147" s="406"/>
      <c r="AF147" s="618"/>
      <c r="AG147" s="618"/>
      <c r="AH147" s="406">
        <f t="shared" ref="AH147:AM147" si="36">SUM(AH7:AH146)</f>
        <v>0</v>
      </c>
      <c r="AI147" s="406">
        <f t="shared" si="36"/>
        <v>0</v>
      </c>
      <c r="AJ147" s="588">
        <f>SUM(AJ7:AJ146)</f>
        <v>217314.71599999999</v>
      </c>
      <c r="AK147" s="633">
        <f t="shared" si="36"/>
        <v>0</v>
      </c>
      <c r="AL147" s="633">
        <f t="shared" si="36"/>
        <v>0</v>
      </c>
      <c r="AM147" s="633">
        <f t="shared" si="36"/>
        <v>0</v>
      </c>
    </row>
    <row r="148" spans="1:42" s="589" customFormat="1" ht="84.6" customHeight="1" thickTop="1">
      <c r="A148" s="790" t="s">
        <v>309</v>
      </c>
      <c r="B148" s="777"/>
      <c r="C148" s="777"/>
      <c r="D148" s="777"/>
      <c r="E148" s="777"/>
      <c r="F148" s="537"/>
      <c r="G148" s="638"/>
      <c r="H148" s="654"/>
      <c r="I148" s="638"/>
      <c r="J148" s="639"/>
      <c r="K148" s="639"/>
      <c r="L148" s="640"/>
      <c r="M148" s="641"/>
      <c r="N148" s="639"/>
      <c r="O148" s="639"/>
      <c r="P148" s="642"/>
      <c r="Q148" s="639"/>
      <c r="R148" s="639"/>
      <c r="S148" s="639"/>
      <c r="T148" s="639"/>
      <c r="U148" s="639"/>
      <c r="V148" s="643"/>
      <c r="W148" s="644"/>
      <c r="X148" s="643"/>
      <c r="Y148" s="643"/>
      <c r="Z148" s="643"/>
      <c r="AA148" s="643"/>
      <c r="AB148" s="639"/>
      <c r="AC148" s="639"/>
      <c r="AD148" s="639"/>
      <c r="AE148" s="643"/>
      <c r="AF148" s="644"/>
      <c r="AG148" s="644"/>
      <c r="AH148" s="643"/>
      <c r="AI148" s="643"/>
      <c r="AJ148" s="639"/>
      <c r="AK148" s="639"/>
      <c r="AL148" s="639"/>
      <c r="AM148" s="639"/>
      <c r="AN148" s="536"/>
    </row>
    <row r="149" spans="1:42" ht="25.2" customHeight="1">
      <c r="A149" s="791" t="s">
        <v>300</v>
      </c>
      <c r="D149" s="775"/>
      <c r="V149" s="423"/>
      <c r="W149" s="728"/>
      <c r="X149" s="728"/>
      <c r="Y149" s="423"/>
      <c r="Z149" s="423"/>
      <c r="AA149" s="728"/>
      <c r="AB149" s="729"/>
      <c r="AC149" s="729"/>
      <c r="AD149" s="718"/>
      <c r="AE149" s="713"/>
      <c r="AF149" s="730"/>
      <c r="AG149" s="730"/>
      <c r="AH149" s="731"/>
      <c r="AI149" s="732"/>
      <c r="AJ149" s="733"/>
      <c r="AK149" s="734"/>
      <c r="AL149" s="734"/>
      <c r="AM149" s="735"/>
      <c r="AN149" s="736"/>
      <c r="AO149" s="715"/>
      <c r="AP149" s="715"/>
    </row>
    <row r="150" spans="1:42" ht="25.2" customHeight="1">
      <c r="A150" s="791" t="s">
        <v>299</v>
      </c>
      <c r="D150" s="775"/>
      <c r="V150" s="423"/>
      <c r="W150" s="728"/>
      <c r="X150" s="728"/>
      <c r="Y150" s="423"/>
      <c r="Z150" s="423"/>
      <c r="AA150" s="728"/>
      <c r="AB150" s="729"/>
      <c r="AC150" s="729"/>
      <c r="AD150" s="718"/>
      <c r="AE150" s="719"/>
      <c r="AF150" s="730"/>
      <c r="AG150" s="730"/>
      <c r="AH150" s="731"/>
      <c r="AI150" s="732"/>
      <c r="AJ150" s="733"/>
      <c r="AK150" s="734"/>
      <c r="AL150" s="734"/>
      <c r="AM150" s="735"/>
      <c r="AN150" s="736"/>
      <c r="AO150" s="715"/>
      <c r="AP150" s="715"/>
    </row>
    <row r="151" spans="1:42" ht="25.2" customHeight="1">
      <c r="A151" s="791" t="s">
        <v>298</v>
      </c>
      <c r="D151" s="775"/>
      <c r="P151" s="785" t="s">
        <v>292</v>
      </c>
      <c r="Q151" s="785"/>
      <c r="R151" s="785"/>
      <c r="S151" s="785"/>
      <c r="T151" s="785" t="s">
        <v>293</v>
      </c>
      <c r="U151" s="786"/>
      <c r="V151" s="785" t="s">
        <v>292</v>
      </c>
      <c r="W151" s="785"/>
      <c r="X151" s="785"/>
      <c r="Y151" s="785"/>
      <c r="Z151" s="785" t="s">
        <v>295</v>
      </c>
      <c r="AA151" s="787"/>
      <c r="AB151" s="729"/>
      <c r="AC151" s="729"/>
      <c r="AD151" s="718"/>
      <c r="AE151" s="719"/>
      <c r="AF151" s="730"/>
      <c r="AG151" s="730"/>
      <c r="AH151" s="731"/>
      <c r="AI151" s="732"/>
      <c r="AJ151" s="733"/>
      <c r="AK151" s="734"/>
      <c r="AL151" s="734"/>
      <c r="AM151" s="735"/>
      <c r="AN151" s="736"/>
      <c r="AO151" s="715"/>
      <c r="AP151" s="715"/>
    </row>
    <row r="152" spans="1:42" ht="25.2" customHeight="1">
      <c r="A152" s="791" t="s">
        <v>308</v>
      </c>
      <c r="D152" s="775"/>
      <c r="Q152" s="792"/>
      <c r="R152" s="792" t="s">
        <v>294</v>
      </c>
      <c r="S152" s="792"/>
      <c r="T152" s="792"/>
      <c r="U152" s="792"/>
      <c r="V152" s="792"/>
      <c r="W152" s="792"/>
      <c r="X152" s="792" t="s">
        <v>289</v>
      </c>
      <c r="Y152" s="792"/>
      <c r="Z152" s="793"/>
      <c r="AA152" s="787"/>
      <c r="AB152" s="729"/>
      <c r="AC152" s="729"/>
      <c r="AD152" s="718"/>
      <c r="AE152" s="719"/>
      <c r="AF152" s="730"/>
      <c r="AG152" s="730"/>
      <c r="AH152" s="731"/>
      <c r="AI152" s="732"/>
      <c r="AJ152" s="733"/>
      <c r="AK152" s="734"/>
      <c r="AL152" s="734"/>
      <c r="AM152" s="735"/>
      <c r="AN152" s="736"/>
      <c r="AO152" s="715"/>
      <c r="AP152" s="715"/>
    </row>
    <row r="153" spans="1:42" s="645" customFormat="1" ht="36" customHeight="1">
      <c r="A153" s="720"/>
      <c r="B153" s="779"/>
      <c r="C153" s="720"/>
      <c r="D153" s="780" t="s">
        <v>229</v>
      </c>
      <c r="E153" s="781">
        <v>148580</v>
      </c>
      <c r="F153" s="722"/>
      <c r="G153" s="723"/>
      <c r="H153" s="724"/>
      <c r="I153" s="721"/>
      <c r="J153" s="722"/>
      <c r="K153" s="722"/>
      <c r="L153" s="725"/>
      <c r="M153" s="725"/>
      <c r="N153" s="722"/>
      <c r="O153" s="726"/>
      <c r="P153" s="535"/>
      <c r="Q153" s="794"/>
      <c r="R153" s="794" t="s">
        <v>290</v>
      </c>
      <c r="S153" s="794"/>
      <c r="T153" s="794"/>
      <c r="U153" s="794"/>
      <c r="V153" s="794"/>
      <c r="W153" s="794"/>
      <c r="X153" s="794" t="s">
        <v>291</v>
      </c>
      <c r="Y153" s="794"/>
      <c r="Z153" s="795"/>
      <c r="AA153" s="788"/>
      <c r="AB153" s="737"/>
      <c r="AC153" s="737"/>
      <c r="AD153" s="726"/>
      <c r="AE153" s="719"/>
      <c r="AF153" s="738"/>
      <c r="AG153" s="738"/>
      <c r="AH153" s="739"/>
      <c r="AI153" s="740"/>
      <c r="AJ153" s="741"/>
      <c r="AK153" s="737"/>
      <c r="AL153" s="737"/>
      <c r="AM153" s="742"/>
      <c r="AN153" s="743"/>
      <c r="AO153" s="720"/>
      <c r="AP153" s="720"/>
    </row>
    <row r="154" spans="1:42" ht="21" hidden="1" customHeight="1">
      <c r="D154" s="782" t="s">
        <v>230</v>
      </c>
      <c r="E154" s="783">
        <v>5000</v>
      </c>
      <c r="F154" s="727"/>
    </row>
    <row r="155" spans="1:42" ht="21" hidden="1" customHeight="1">
      <c r="E155" s="784">
        <f>SUM(E153:E154)</f>
        <v>153580</v>
      </c>
    </row>
  </sheetData>
  <sheetProtection formatCells="0" insertRows="0" insertHyperlinks="0" deleteRows="0" sort="0" autoFilter="0" pivotTables="0"/>
  <mergeCells count="7">
    <mergeCell ref="AE5:AI5"/>
    <mergeCell ref="V5:AD5"/>
    <mergeCell ref="A1:N1"/>
    <mergeCell ref="Q5:U5"/>
    <mergeCell ref="V4:AD4"/>
    <mergeCell ref="AE4:AI4"/>
    <mergeCell ref="Q4:U4"/>
  </mergeCells>
  <phoneticPr fontId="20" type="noConversion"/>
  <dataValidations count="3">
    <dataValidation type="list" allowBlank="1" showInputMessage="1" showErrorMessage="1" sqref="WMT983153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QVB983153 KD65649 TZ65649 ADV65649 ANR65649 AXN65649 BHJ65649 BRF65649 CBB65649 CKX65649 CUT65649 DEP65649 DOL65649 DYH65649 EID65649 ERZ65649 FBV65649 FLR65649 FVN65649 GFJ65649 GPF65649 GZB65649 HIX65649 HST65649 ICP65649 IML65649 IWH65649 JGD65649 JPZ65649 JZV65649 KJR65649 KTN65649 LDJ65649 LNF65649 LXB65649 MGX65649 MQT65649 NAP65649 NKL65649 NUH65649 OED65649 ONZ65649 OXV65649 PHR65649 PRN65649 QBJ65649 QLF65649 QVB65649 REX65649 ROT65649 RYP65649 SIL65649 SSH65649 TCD65649 TLZ65649 TVV65649 UFR65649 UPN65649 UZJ65649 VJF65649 VTB65649 WCX65649 WMT65649 REX983153 KD131185 TZ131185 ADV131185 ANR131185 AXN131185 BHJ131185 BRF131185 CBB131185 CKX131185 CUT131185 DEP131185 DOL131185 DYH131185 EID131185 ERZ131185 FBV131185 FLR131185 FVN131185 GFJ131185 GPF131185 GZB131185 HIX131185 HST131185 ICP131185 IML131185 IWH131185 JGD131185 JPZ131185 JZV131185 KJR131185 KTN131185 LDJ131185 LNF131185 LXB131185 MGX131185 MQT131185 NAP131185 NKL131185 NUH131185 OED131185 ONZ131185 OXV131185 PHR131185 PRN131185 QBJ131185 QLF131185 QVB131185 REX131185 ROT131185 RYP131185 SIL131185 SSH131185 TCD131185 TLZ131185 TVV131185 UFR131185 UPN131185 UZJ131185 VJF131185 VTB131185 WCX131185 WMT131185 ROT983153 KD196721 TZ196721 ADV196721 ANR196721 AXN196721 BHJ196721 BRF196721 CBB196721 CKX196721 CUT196721 DEP196721 DOL196721 DYH196721 EID196721 ERZ196721 FBV196721 FLR196721 FVN196721 GFJ196721 GPF196721 GZB196721 HIX196721 HST196721 ICP196721 IML196721 IWH196721 JGD196721 JPZ196721 JZV196721 KJR196721 KTN196721 LDJ196721 LNF196721 LXB196721 MGX196721 MQT196721 NAP196721 NKL196721 NUH196721 OED196721 ONZ196721 OXV196721 PHR196721 PRN196721 QBJ196721 QLF196721 QVB196721 REX196721 ROT196721 RYP196721 SIL196721 SSH196721 TCD196721 TLZ196721 TVV196721 UFR196721 UPN196721 UZJ196721 VJF196721 VTB196721 WCX196721 WMT196721 RYP983153 KD262257 TZ262257 ADV262257 ANR262257 AXN262257 BHJ262257 BRF262257 CBB262257 CKX262257 CUT262257 DEP262257 DOL262257 DYH262257 EID262257 ERZ262257 FBV262257 FLR262257 FVN262257 GFJ262257 GPF262257 GZB262257 HIX262257 HST262257 ICP262257 IML262257 IWH262257 JGD262257 JPZ262257 JZV262257 KJR262257 KTN262257 LDJ262257 LNF262257 LXB262257 MGX262257 MQT262257 NAP262257 NKL262257 NUH262257 OED262257 ONZ262257 OXV262257 PHR262257 PRN262257 QBJ262257 QLF262257 QVB262257 REX262257 ROT262257 RYP262257 SIL262257 SSH262257 TCD262257 TLZ262257 TVV262257 UFR262257 UPN262257 UZJ262257 VJF262257 VTB262257 WCX262257 WMT262257 SIL983153 KD327793 TZ327793 ADV327793 ANR327793 AXN327793 BHJ327793 BRF327793 CBB327793 CKX327793 CUT327793 DEP327793 DOL327793 DYH327793 EID327793 ERZ327793 FBV327793 FLR327793 FVN327793 GFJ327793 GPF327793 GZB327793 HIX327793 HST327793 ICP327793 IML327793 IWH327793 JGD327793 JPZ327793 JZV327793 KJR327793 KTN327793 LDJ327793 LNF327793 LXB327793 MGX327793 MQT327793 NAP327793 NKL327793 NUH327793 OED327793 ONZ327793 OXV327793 PHR327793 PRN327793 QBJ327793 QLF327793 QVB327793 REX327793 ROT327793 RYP327793 SIL327793 SSH327793 TCD327793 TLZ327793 TVV327793 UFR327793 UPN327793 UZJ327793 VJF327793 VTB327793 WCX327793 WMT327793 SSH983153 KD393329 TZ393329 ADV393329 ANR393329 AXN393329 BHJ393329 BRF393329 CBB393329 CKX393329 CUT393329 DEP393329 DOL393329 DYH393329 EID393329 ERZ393329 FBV393329 FLR393329 FVN393329 GFJ393329 GPF393329 GZB393329 HIX393329 HST393329 ICP393329 IML393329 IWH393329 JGD393329 JPZ393329 JZV393329 KJR393329 KTN393329 LDJ393329 LNF393329 LXB393329 MGX393329 MQT393329 NAP393329 NKL393329 NUH393329 OED393329 ONZ393329 OXV393329 PHR393329 PRN393329 QBJ393329 QLF393329 QVB393329 REX393329 ROT393329 RYP393329 SIL393329 SSH393329 TCD393329 TLZ393329 TVV393329 UFR393329 UPN393329 UZJ393329 VJF393329 VTB393329 WCX393329 WMT393329 TCD983153 KD458865 TZ458865 ADV458865 ANR458865 AXN458865 BHJ458865 BRF458865 CBB458865 CKX458865 CUT458865 DEP458865 DOL458865 DYH458865 EID458865 ERZ458865 FBV458865 FLR458865 FVN458865 GFJ458865 GPF458865 GZB458865 HIX458865 HST458865 ICP458865 IML458865 IWH458865 JGD458865 JPZ458865 JZV458865 KJR458865 KTN458865 LDJ458865 LNF458865 LXB458865 MGX458865 MQT458865 NAP458865 NKL458865 NUH458865 OED458865 ONZ458865 OXV458865 PHR458865 PRN458865 QBJ458865 QLF458865 QVB458865 REX458865 ROT458865 RYP458865 SIL458865 SSH458865 TCD458865 TLZ458865 TVV458865 UFR458865 UPN458865 UZJ458865 VJF458865 VTB458865 WCX458865 WMT458865 TLZ983153 KD524401 TZ524401 ADV524401 ANR524401 AXN524401 BHJ524401 BRF524401 CBB524401 CKX524401 CUT524401 DEP524401 DOL524401 DYH524401 EID524401 ERZ524401 FBV524401 FLR524401 FVN524401 GFJ524401 GPF524401 GZB524401 HIX524401 HST524401 ICP524401 IML524401 IWH524401 JGD524401 JPZ524401 JZV524401 KJR524401 KTN524401 LDJ524401 LNF524401 LXB524401 MGX524401 MQT524401 NAP524401 NKL524401 NUH524401 OED524401 ONZ524401 OXV524401 PHR524401 PRN524401 QBJ524401 QLF524401 QVB524401 REX524401 ROT524401 RYP524401 SIL524401 SSH524401 TCD524401 TLZ524401 TVV524401 UFR524401 UPN524401 UZJ524401 VJF524401 VTB524401 WCX524401 WMT524401 TVV983153 KD589937 TZ589937 ADV589937 ANR589937 AXN589937 BHJ589937 BRF589937 CBB589937 CKX589937 CUT589937 DEP589937 DOL589937 DYH589937 EID589937 ERZ589937 FBV589937 FLR589937 FVN589937 GFJ589937 GPF589937 GZB589937 HIX589937 HST589937 ICP589937 IML589937 IWH589937 JGD589937 JPZ589937 JZV589937 KJR589937 KTN589937 LDJ589937 LNF589937 LXB589937 MGX589937 MQT589937 NAP589937 NKL589937 NUH589937 OED589937 ONZ589937 OXV589937 PHR589937 PRN589937 QBJ589937 QLF589937 QVB589937 REX589937 ROT589937 RYP589937 SIL589937 SSH589937 TCD589937 TLZ589937 TVV589937 UFR589937 UPN589937 UZJ589937 VJF589937 VTB589937 WCX589937 WMT589937 UFR983153 KD655473 TZ655473 ADV655473 ANR655473 AXN655473 BHJ655473 BRF655473 CBB655473 CKX655473 CUT655473 DEP655473 DOL655473 DYH655473 EID655473 ERZ655473 FBV655473 FLR655473 FVN655473 GFJ655473 GPF655473 GZB655473 HIX655473 HST655473 ICP655473 IML655473 IWH655473 JGD655473 JPZ655473 JZV655473 KJR655473 KTN655473 LDJ655473 LNF655473 LXB655473 MGX655473 MQT655473 NAP655473 NKL655473 NUH655473 OED655473 ONZ655473 OXV655473 PHR655473 PRN655473 QBJ655473 QLF655473 QVB655473 REX655473 ROT655473 RYP655473 SIL655473 SSH655473 TCD655473 TLZ655473 TVV655473 UFR655473 UPN655473 UZJ655473 VJF655473 VTB655473 WCX655473 WMT655473 UPN983153 KD721009 TZ721009 ADV721009 ANR721009 AXN721009 BHJ721009 BRF721009 CBB721009 CKX721009 CUT721009 DEP721009 DOL721009 DYH721009 EID721009 ERZ721009 FBV721009 FLR721009 FVN721009 GFJ721009 GPF721009 GZB721009 HIX721009 HST721009 ICP721009 IML721009 IWH721009 JGD721009 JPZ721009 JZV721009 KJR721009 KTN721009 LDJ721009 LNF721009 LXB721009 MGX721009 MQT721009 NAP721009 NKL721009 NUH721009 OED721009 ONZ721009 OXV721009 PHR721009 PRN721009 QBJ721009 QLF721009 QVB721009 REX721009 ROT721009 RYP721009 SIL721009 SSH721009 TCD721009 TLZ721009 TVV721009 UFR721009 UPN721009 UZJ721009 VJF721009 VTB721009 WCX721009 WMT721009 UZJ983153 KD786545 TZ786545 ADV786545 ANR786545 AXN786545 BHJ786545 BRF786545 CBB786545 CKX786545 CUT786545 DEP786545 DOL786545 DYH786545 EID786545 ERZ786545 FBV786545 FLR786545 FVN786545 GFJ786545 GPF786545 GZB786545 HIX786545 HST786545 ICP786545 IML786545 IWH786545 JGD786545 JPZ786545 JZV786545 KJR786545 KTN786545 LDJ786545 LNF786545 LXB786545 MGX786545 MQT786545 NAP786545 NKL786545 NUH786545 OED786545 ONZ786545 OXV786545 PHR786545 PRN786545 QBJ786545 QLF786545 QVB786545 REX786545 ROT786545 RYP786545 SIL786545 SSH786545 TCD786545 TLZ786545 TVV786545 UFR786545 UPN786545 UZJ786545 VJF786545 VTB786545 WCX786545 WMT786545 VJF983153 KD852081 TZ852081 ADV852081 ANR852081 AXN852081 BHJ852081 BRF852081 CBB852081 CKX852081 CUT852081 DEP852081 DOL852081 DYH852081 EID852081 ERZ852081 FBV852081 FLR852081 FVN852081 GFJ852081 GPF852081 GZB852081 HIX852081 HST852081 ICP852081 IML852081 IWH852081 JGD852081 JPZ852081 JZV852081 KJR852081 KTN852081 LDJ852081 LNF852081 LXB852081 MGX852081 MQT852081 NAP852081 NKL852081 NUH852081 OED852081 ONZ852081 OXV852081 PHR852081 PRN852081 QBJ852081 QLF852081 QVB852081 REX852081 ROT852081 RYP852081 SIL852081 SSH852081 TCD852081 TLZ852081 TVV852081 UFR852081 UPN852081 UZJ852081 VJF852081 VTB852081 WCX852081 WMT852081 VTB983153 KD917617 TZ917617 ADV917617 ANR917617 AXN917617 BHJ917617 BRF917617 CBB917617 CKX917617 CUT917617 DEP917617 DOL917617 DYH917617 EID917617 ERZ917617 FBV917617 FLR917617 FVN917617 GFJ917617 GPF917617 GZB917617 HIX917617 HST917617 ICP917617 IML917617 IWH917617 JGD917617 JPZ917617 JZV917617 KJR917617 KTN917617 LDJ917617 LNF917617 LXB917617 MGX917617 MQT917617 NAP917617 NKL917617 NUH917617 OED917617 ONZ917617 OXV917617 PHR917617 PRN917617 QBJ917617 QLF917617 QVB917617 REX917617 ROT917617 RYP917617 SIL917617 SSH917617 TCD917617 TLZ917617 TVV917617 UFR917617 UPN917617 UZJ917617 VJF917617 VTB917617 WCX917617 WMT917617 WCX983153 KD983153 TZ983153 ADV983153 ANR983153 AXN983153 BHJ983153 BRF983153 CBB983153 CKX983153 CUT983153 DEP983153 DOL983153 DYH983153 EID983153 ERZ983153 FBV983153 FLR983153 FVN983153 GFJ983153 GPF983153 GZB983153 HIX983153 HST983153 ICP983153 IML983153 IWH983153 JGD983153 JPZ983153 JZV983153 KJR983153 KTN983153 LDJ983153 LNF983153 LXB983153 MGX983153 MQT983153 NAP983153 NKL983153 NUH983153 OED983153 ONZ983153 OXV983153 PHR983153 PRN983153 QBJ983153 QLF983153 C131185 C196721 C262257 C327793 C393329 C458865 C524401 C589937 C655473 C721009 C786545 C852081 C917617 C983153 A983153 A917617 A852081 A786545 A721009 A655473 A589937 A524401 A458865 A393329 A327793 A262257 A196721 A131185 A65649 C65649"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L983157:WNL983186 AZ65653:AZ65682 KV65653:KV65682 UR65653:UR65682 AEN65653:AEN65682 AOJ65653:AOJ65682 AYF65653:AYF65682 BIB65653:BIB65682 BRX65653:BRX65682 CBT65653:CBT65682 CLP65653:CLP65682 CVL65653:CVL65682 DFH65653:DFH65682 DPD65653:DPD65682 DYZ65653:DYZ65682 EIV65653:EIV65682 ESR65653:ESR65682 FCN65653:FCN65682 FMJ65653:FMJ65682 FWF65653:FWF65682 GGB65653:GGB65682 GPX65653:GPX65682 GZT65653:GZT65682 HJP65653:HJP65682 HTL65653:HTL65682 IDH65653:IDH65682 IND65653:IND65682 IWZ65653:IWZ65682 JGV65653:JGV65682 JQR65653:JQR65682 KAN65653:KAN65682 KKJ65653:KKJ65682 KUF65653:KUF65682 LEB65653:LEB65682 LNX65653:LNX65682 LXT65653:LXT65682 MHP65653:MHP65682 MRL65653:MRL65682 NBH65653:NBH65682 NLD65653:NLD65682 NUZ65653:NUZ65682 OEV65653:OEV65682 OOR65653:OOR65682 OYN65653:OYN65682 PIJ65653:PIJ65682 PSF65653:PSF65682 QCB65653:QCB65682 QLX65653:QLX65682 QVT65653:QVT65682 RFP65653:RFP65682 RPL65653:RPL65682 RZH65653:RZH65682 SJD65653:SJD65682 SSZ65653:SSZ65682 TCV65653:TCV65682 TMR65653:TMR65682 TWN65653:TWN65682 UGJ65653:UGJ65682 UQF65653:UQF65682 VAB65653:VAB65682 VJX65653:VJX65682 VTT65653:VTT65682 WDP65653:WDP65682 WNL65653:WNL65682 AZ131189:AZ131218 KV131189:KV131218 UR131189:UR131218 AEN131189:AEN131218 AOJ131189:AOJ131218 AYF131189:AYF131218 BIB131189:BIB131218 BRX131189:BRX131218 CBT131189:CBT131218 CLP131189:CLP131218 CVL131189:CVL131218 DFH131189:DFH131218 DPD131189:DPD131218 DYZ131189:DYZ131218 EIV131189:EIV131218 ESR131189:ESR131218 FCN131189:FCN131218 FMJ131189:FMJ131218 FWF131189:FWF131218 GGB131189:GGB131218 GPX131189:GPX131218 GZT131189:GZT131218 HJP131189:HJP131218 HTL131189:HTL131218 IDH131189:IDH131218 IND131189:IND131218 IWZ131189:IWZ131218 JGV131189:JGV131218 JQR131189:JQR131218 KAN131189:KAN131218 KKJ131189:KKJ131218 KUF131189:KUF131218 LEB131189:LEB131218 LNX131189:LNX131218 LXT131189:LXT131218 MHP131189:MHP131218 MRL131189:MRL131218 NBH131189:NBH131218 NLD131189:NLD131218 NUZ131189:NUZ131218 OEV131189:OEV131218 OOR131189:OOR131218 OYN131189:OYN131218 PIJ131189:PIJ131218 PSF131189:PSF131218 QCB131189:QCB131218 QLX131189:QLX131218 QVT131189:QVT131218 RFP131189:RFP131218 RPL131189:RPL131218 RZH131189:RZH131218 SJD131189:SJD131218 SSZ131189:SSZ131218 TCV131189:TCV131218 TMR131189:TMR131218 TWN131189:TWN131218 UGJ131189:UGJ131218 UQF131189:UQF131218 VAB131189:VAB131218 VJX131189:VJX131218 VTT131189:VTT131218 WDP131189:WDP131218 WNL131189:WNL131218 AZ196725:AZ196754 KV196725:KV196754 UR196725:UR196754 AEN196725:AEN196754 AOJ196725:AOJ196754 AYF196725:AYF196754 BIB196725:BIB196754 BRX196725:BRX196754 CBT196725:CBT196754 CLP196725:CLP196754 CVL196725:CVL196754 DFH196725:DFH196754 DPD196725:DPD196754 DYZ196725:DYZ196754 EIV196725:EIV196754 ESR196725:ESR196754 FCN196725:FCN196754 FMJ196725:FMJ196754 FWF196725:FWF196754 GGB196725:GGB196754 GPX196725:GPX196754 GZT196725:GZT196754 HJP196725:HJP196754 HTL196725:HTL196754 IDH196725:IDH196754 IND196725:IND196754 IWZ196725:IWZ196754 JGV196725:JGV196754 JQR196725:JQR196754 KAN196725:KAN196754 KKJ196725:KKJ196754 KUF196725:KUF196754 LEB196725:LEB196754 LNX196725:LNX196754 LXT196725:LXT196754 MHP196725:MHP196754 MRL196725:MRL196754 NBH196725:NBH196754 NLD196725:NLD196754 NUZ196725:NUZ196754 OEV196725:OEV196754 OOR196725:OOR196754 OYN196725:OYN196754 PIJ196725:PIJ196754 PSF196725:PSF196754 QCB196725:QCB196754 QLX196725:QLX196754 QVT196725:QVT196754 RFP196725:RFP196754 RPL196725:RPL196754 RZH196725:RZH196754 SJD196725:SJD196754 SSZ196725:SSZ196754 TCV196725:TCV196754 TMR196725:TMR196754 TWN196725:TWN196754 UGJ196725:UGJ196754 UQF196725:UQF196754 VAB196725:VAB196754 VJX196725:VJX196754 VTT196725:VTT196754 WDP196725:WDP196754 WNL196725:WNL196754 AZ262261:AZ262290 KV262261:KV262290 UR262261:UR262290 AEN262261:AEN262290 AOJ262261:AOJ262290 AYF262261:AYF262290 BIB262261:BIB262290 BRX262261:BRX262290 CBT262261:CBT262290 CLP262261:CLP262290 CVL262261:CVL262290 DFH262261:DFH262290 DPD262261:DPD262290 DYZ262261:DYZ262290 EIV262261:EIV262290 ESR262261:ESR262290 FCN262261:FCN262290 FMJ262261:FMJ262290 FWF262261:FWF262290 GGB262261:GGB262290 GPX262261:GPX262290 GZT262261:GZT262290 HJP262261:HJP262290 HTL262261:HTL262290 IDH262261:IDH262290 IND262261:IND262290 IWZ262261:IWZ262290 JGV262261:JGV262290 JQR262261:JQR262290 KAN262261:KAN262290 KKJ262261:KKJ262290 KUF262261:KUF262290 LEB262261:LEB262290 LNX262261:LNX262290 LXT262261:LXT262290 MHP262261:MHP262290 MRL262261:MRL262290 NBH262261:NBH262290 NLD262261:NLD262290 NUZ262261:NUZ262290 OEV262261:OEV262290 OOR262261:OOR262290 OYN262261:OYN262290 PIJ262261:PIJ262290 PSF262261:PSF262290 QCB262261:QCB262290 QLX262261:QLX262290 QVT262261:QVT262290 RFP262261:RFP262290 RPL262261:RPL262290 RZH262261:RZH262290 SJD262261:SJD262290 SSZ262261:SSZ262290 TCV262261:TCV262290 TMR262261:TMR262290 TWN262261:TWN262290 UGJ262261:UGJ262290 UQF262261:UQF262290 VAB262261:VAB262290 VJX262261:VJX262290 VTT262261:VTT262290 WDP262261:WDP262290 WNL262261:WNL262290 AZ327797:AZ327826 KV327797:KV327826 UR327797:UR327826 AEN327797:AEN327826 AOJ327797:AOJ327826 AYF327797:AYF327826 BIB327797:BIB327826 BRX327797:BRX327826 CBT327797:CBT327826 CLP327797:CLP327826 CVL327797:CVL327826 DFH327797:DFH327826 DPD327797:DPD327826 DYZ327797:DYZ327826 EIV327797:EIV327826 ESR327797:ESR327826 FCN327797:FCN327826 FMJ327797:FMJ327826 FWF327797:FWF327826 GGB327797:GGB327826 GPX327797:GPX327826 GZT327797:GZT327826 HJP327797:HJP327826 HTL327797:HTL327826 IDH327797:IDH327826 IND327797:IND327826 IWZ327797:IWZ327826 JGV327797:JGV327826 JQR327797:JQR327826 KAN327797:KAN327826 KKJ327797:KKJ327826 KUF327797:KUF327826 LEB327797:LEB327826 LNX327797:LNX327826 LXT327797:LXT327826 MHP327797:MHP327826 MRL327797:MRL327826 NBH327797:NBH327826 NLD327797:NLD327826 NUZ327797:NUZ327826 OEV327797:OEV327826 OOR327797:OOR327826 OYN327797:OYN327826 PIJ327797:PIJ327826 PSF327797:PSF327826 QCB327797:QCB327826 QLX327797:QLX327826 QVT327797:QVT327826 RFP327797:RFP327826 RPL327797:RPL327826 RZH327797:RZH327826 SJD327797:SJD327826 SSZ327797:SSZ327826 TCV327797:TCV327826 TMR327797:TMR327826 TWN327797:TWN327826 UGJ327797:UGJ327826 UQF327797:UQF327826 VAB327797:VAB327826 VJX327797:VJX327826 VTT327797:VTT327826 WDP327797:WDP327826 WNL327797:WNL327826 AZ393333:AZ393362 KV393333:KV393362 UR393333:UR393362 AEN393333:AEN393362 AOJ393333:AOJ393362 AYF393333:AYF393362 BIB393333:BIB393362 BRX393333:BRX393362 CBT393333:CBT393362 CLP393333:CLP393362 CVL393333:CVL393362 DFH393333:DFH393362 DPD393333:DPD393362 DYZ393333:DYZ393362 EIV393333:EIV393362 ESR393333:ESR393362 FCN393333:FCN393362 FMJ393333:FMJ393362 FWF393333:FWF393362 GGB393333:GGB393362 GPX393333:GPX393362 GZT393333:GZT393362 HJP393333:HJP393362 HTL393333:HTL393362 IDH393333:IDH393362 IND393333:IND393362 IWZ393333:IWZ393362 JGV393333:JGV393362 JQR393333:JQR393362 KAN393333:KAN393362 KKJ393333:KKJ393362 KUF393333:KUF393362 LEB393333:LEB393362 LNX393333:LNX393362 LXT393333:LXT393362 MHP393333:MHP393362 MRL393333:MRL393362 NBH393333:NBH393362 NLD393333:NLD393362 NUZ393333:NUZ393362 OEV393333:OEV393362 OOR393333:OOR393362 OYN393333:OYN393362 PIJ393333:PIJ393362 PSF393333:PSF393362 QCB393333:QCB393362 QLX393333:QLX393362 QVT393333:QVT393362 RFP393333:RFP393362 RPL393333:RPL393362 RZH393333:RZH393362 SJD393333:SJD393362 SSZ393333:SSZ393362 TCV393333:TCV393362 TMR393333:TMR393362 TWN393333:TWN393362 UGJ393333:UGJ393362 UQF393333:UQF393362 VAB393333:VAB393362 VJX393333:VJX393362 VTT393333:VTT393362 WDP393333:WDP393362 WNL393333:WNL393362 AZ458869:AZ458898 KV458869:KV458898 UR458869:UR458898 AEN458869:AEN458898 AOJ458869:AOJ458898 AYF458869:AYF458898 BIB458869:BIB458898 BRX458869:BRX458898 CBT458869:CBT458898 CLP458869:CLP458898 CVL458869:CVL458898 DFH458869:DFH458898 DPD458869:DPD458898 DYZ458869:DYZ458898 EIV458869:EIV458898 ESR458869:ESR458898 FCN458869:FCN458898 FMJ458869:FMJ458898 FWF458869:FWF458898 GGB458869:GGB458898 GPX458869:GPX458898 GZT458869:GZT458898 HJP458869:HJP458898 HTL458869:HTL458898 IDH458869:IDH458898 IND458869:IND458898 IWZ458869:IWZ458898 JGV458869:JGV458898 JQR458869:JQR458898 KAN458869:KAN458898 KKJ458869:KKJ458898 KUF458869:KUF458898 LEB458869:LEB458898 LNX458869:LNX458898 LXT458869:LXT458898 MHP458869:MHP458898 MRL458869:MRL458898 NBH458869:NBH458898 NLD458869:NLD458898 NUZ458869:NUZ458898 OEV458869:OEV458898 OOR458869:OOR458898 OYN458869:OYN458898 PIJ458869:PIJ458898 PSF458869:PSF458898 QCB458869:QCB458898 QLX458869:QLX458898 QVT458869:QVT458898 RFP458869:RFP458898 RPL458869:RPL458898 RZH458869:RZH458898 SJD458869:SJD458898 SSZ458869:SSZ458898 TCV458869:TCV458898 TMR458869:TMR458898 TWN458869:TWN458898 UGJ458869:UGJ458898 UQF458869:UQF458898 VAB458869:VAB458898 VJX458869:VJX458898 VTT458869:VTT458898 WDP458869:WDP458898 WNL458869:WNL458898 AZ524405:AZ524434 KV524405:KV524434 UR524405:UR524434 AEN524405:AEN524434 AOJ524405:AOJ524434 AYF524405:AYF524434 BIB524405:BIB524434 BRX524405:BRX524434 CBT524405:CBT524434 CLP524405:CLP524434 CVL524405:CVL524434 DFH524405:DFH524434 DPD524405:DPD524434 DYZ524405:DYZ524434 EIV524405:EIV524434 ESR524405:ESR524434 FCN524405:FCN524434 FMJ524405:FMJ524434 FWF524405:FWF524434 GGB524405:GGB524434 GPX524405:GPX524434 GZT524405:GZT524434 HJP524405:HJP524434 HTL524405:HTL524434 IDH524405:IDH524434 IND524405:IND524434 IWZ524405:IWZ524434 JGV524405:JGV524434 JQR524405:JQR524434 KAN524405:KAN524434 KKJ524405:KKJ524434 KUF524405:KUF524434 LEB524405:LEB524434 LNX524405:LNX524434 LXT524405:LXT524434 MHP524405:MHP524434 MRL524405:MRL524434 NBH524405:NBH524434 NLD524405:NLD524434 NUZ524405:NUZ524434 OEV524405:OEV524434 OOR524405:OOR524434 OYN524405:OYN524434 PIJ524405:PIJ524434 PSF524405:PSF524434 QCB524405:QCB524434 QLX524405:QLX524434 QVT524405:QVT524434 RFP524405:RFP524434 RPL524405:RPL524434 RZH524405:RZH524434 SJD524405:SJD524434 SSZ524405:SSZ524434 TCV524405:TCV524434 TMR524405:TMR524434 TWN524405:TWN524434 UGJ524405:UGJ524434 UQF524405:UQF524434 VAB524405:VAB524434 VJX524405:VJX524434 VTT524405:VTT524434 WDP524405:WDP524434 WNL524405:WNL524434 AZ589941:AZ589970 KV589941:KV589970 UR589941:UR589970 AEN589941:AEN589970 AOJ589941:AOJ589970 AYF589941:AYF589970 BIB589941:BIB589970 BRX589941:BRX589970 CBT589941:CBT589970 CLP589941:CLP589970 CVL589941:CVL589970 DFH589941:DFH589970 DPD589941:DPD589970 DYZ589941:DYZ589970 EIV589941:EIV589970 ESR589941:ESR589970 FCN589941:FCN589970 FMJ589941:FMJ589970 FWF589941:FWF589970 GGB589941:GGB589970 GPX589941:GPX589970 GZT589941:GZT589970 HJP589941:HJP589970 HTL589941:HTL589970 IDH589941:IDH589970 IND589941:IND589970 IWZ589941:IWZ589970 JGV589941:JGV589970 JQR589941:JQR589970 KAN589941:KAN589970 KKJ589941:KKJ589970 KUF589941:KUF589970 LEB589941:LEB589970 LNX589941:LNX589970 LXT589941:LXT589970 MHP589941:MHP589970 MRL589941:MRL589970 NBH589941:NBH589970 NLD589941:NLD589970 NUZ589941:NUZ589970 OEV589941:OEV589970 OOR589941:OOR589970 OYN589941:OYN589970 PIJ589941:PIJ589970 PSF589941:PSF589970 QCB589941:QCB589970 QLX589941:QLX589970 QVT589941:QVT589970 RFP589941:RFP589970 RPL589941:RPL589970 RZH589941:RZH589970 SJD589941:SJD589970 SSZ589941:SSZ589970 TCV589941:TCV589970 TMR589941:TMR589970 TWN589941:TWN589970 UGJ589941:UGJ589970 UQF589941:UQF589970 VAB589941:VAB589970 VJX589941:VJX589970 VTT589941:VTT589970 WDP589941:WDP589970 WNL589941:WNL589970 AZ655477:AZ655506 KV655477:KV655506 UR655477:UR655506 AEN655477:AEN655506 AOJ655477:AOJ655506 AYF655477:AYF655506 BIB655477:BIB655506 BRX655477:BRX655506 CBT655477:CBT655506 CLP655477:CLP655506 CVL655477:CVL655506 DFH655477:DFH655506 DPD655477:DPD655506 DYZ655477:DYZ655506 EIV655477:EIV655506 ESR655477:ESR655506 FCN655477:FCN655506 FMJ655477:FMJ655506 FWF655477:FWF655506 GGB655477:GGB655506 GPX655477:GPX655506 GZT655477:GZT655506 HJP655477:HJP655506 HTL655477:HTL655506 IDH655477:IDH655506 IND655477:IND655506 IWZ655477:IWZ655506 JGV655477:JGV655506 JQR655477:JQR655506 KAN655477:KAN655506 KKJ655477:KKJ655506 KUF655477:KUF655506 LEB655477:LEB655506 LNX655477:LNX655506 LXT655477:LXT655506 MHP655477:MHP655506 MRL655477:MRL655506 NBH655477:NBH655506 NLD655477:NLD655506 NUZ655477:NUZ655506 OEV655477:OEV655506 OOR655477:OOR655506 OYN655477:OYN655506 PIJ655477:PIJ655506 PSF655477:PSF655506 QCB655477:QCB655506 QLX655477:QLX655506 QVT655477:QVT655506 RFP655477:RFP655506 RPL655477:RPL655506 RZH655477:RZH655506 SJD655477:SJD655506 SSZ655477:SSZ655506 TCV655477:TCV655506 TMR655477:TMR655506 TWN655477:TWN655506 UGJ655477:UGJ655506 UQF655477:UQF655506 VAB655477:VAB655506 VJX655477:VJX655506 VTT655477:VTT655506 WDP655477:WDP655506 WNL655477:WNL655506 AZ721013:AZ721042 KV721013:KV721042 UR721013:UR721042 AEN721013:AEN721042 AOJ721013:AOJ721042 AYF721013:AYF721042 BIB721013:BIB721042 BRX721013:BRX721042 CBT721013:CBT721042 CLP721013:CLP721042 CVL721013:CVL721042 DFH721013:DFH721042 DPD721013:DPD721042 DYZ721013:DYZ721042 EIV721013:EIV721042 ESR721013:ESR721042 FCN721013:FCN721042 FMJ721013:FMJ721042 FWF721013:FWF721042 GGB721013:GGB721042 GPX721013:GPX721042 GZT721013:GZT721042 HJP721013:HJP721042 HTL721013:HTL721042 IDH721013:IDH721042 IND721013:IND721042 IWZ721013:IWZ721042 JGV721013:JGV721042 JQR721013:JQR721042 KAN721013:KAN721042 KKJ721013:KKJ721042 KUF721013:KUF721042 LEB721013:LEB721042 LNX721013:LNX721042 LXT721013:LXT721042 MHP721013:MHP721042 MRL721013:MRL721042 NBH721013:NBH721042 NLD721013:NLD721042 NUZ721013:NUZ721042 OEV721013:OEV721042 OOR721013:OOR721042 OYN721013:OYN721042 PIJ721013:PIJ721042 PSF721013:PSF721042 QCB721013:QCB721042 QLX721013:QLX721042 QVT721013:QVT721042 RFP721013:RFP721042 RPL721013:RPL721042 RZH721013:RZH721042 SJD721013:SJD721042 SSZ721013:SSZ721042 TCV721013:TCV721042 TMR721013:TMR721042 TWN721013:TWN721042 UGJ721013:UGJ721042 UQF721013:UQF721042 VAB721013:VAB721042 VJX721013:VJX721042 VTT721013:VTT721042 WDP721013:WDP721042 WNL721013:WNL721042 AZ786549:AZ786578 KV786549:KV786578 UR786549:UR786578 AEN786549:AEN786578 AOJ786549:AOJ786578 AYF786549:AYF786578 BIB786549:BIB786578 BRX786549:BRX786578 CBT786549:CBT786578 CLP786549:CLP786578 CVL786549:CVL786578 DFH786549:DFH786578 DPD786549:DPD786578 DYZ786549:DYZ786578 EIV786549:EIV786578 ESR786549:ESR786578 FCN786549:FCN786578 FMJ786549:FMJ786578 FWF786549:FWF786578 GGB786549:GGB786578 GPX786549:GPX786578 GZT786549:GZT786578 HJP786549:HJP786578 HTL786549:HTL786578 IDH786549:IDH786578 IND786549:IND786578 IWZ786549:IWZ786578 JGV786549:JGV786578 JQR786549:JQR786578 KAN786549:KAN786578 KKJ786549:KKJ786578 KUF786549:KUF786578 LEB786549:LEB786578 LNX786549:LNX786578 LXT786549:LXT786578 MHP786549:MHP786578 MRL786549:MRL786578 NBH786549:NBH786578 NLD786549:NLD786578 NUZ786549:NUZ786578 OEV786549:OEV786578 OOR786549:OOR786578 OYN786549:OYN786578 PIJ786549:PIJ786578 PSF786549:PSF786578 QCB786549:QCB786578 QLX786549:QLX786578 QVT786549:QVT786578 RFP786549:RFP786578 RPL786549:RPL786578 RZH786549:RZH786578 SJD786549:SJD786578 SSZ786549:SSZ786578 TCV786549:TCV786578 TMR786549:TMR786578 TWN786549:TWN786578 UGJ786549:UGJ786578 UQF786549:UQF786578 VAB786549:VAB786578 VJX786549:VJX786578 VTT786549:VTT786578 WDP786549:WDP786578 WNL786549:WNL786578 AZ852085:AZ852114 KV852085:KV852114 UR852085:UR852114 AEN852085:AEN852114 AOJ852085:AOJ852114 AYF852085:AYF852114 BIB852085:BIB852114 BRX852085:BRX852114 CBT852085:CBT852114 CLP852085:CLP852114 CVL852085:CVL852114 DFH852085:DFH852114 DPD852085:DPD852114 DYZ852085:DYZ852114 EIV852085:EIV852114 ESR852085:ESR852114 FCN852085:FCN852114 FMJ852085:FMJ852114 FWF852085:FWF852114 GGB852085:GGB852114 GPX852085:GPX852114 GZT852085:GZT852114 HJP852085:HJP852114 HTL852085:HTL852114 IDH852085:IDH852114 IND852085:IND852114 IWZ852085:IWZ852114 JGV852085:JGV852114 JQR852085:JQR852114 KAN852085:KAN852114 KKJ852085:KKJ852114 KUF852085:KUF852114 LEB852085:LEB852114 LNX852085:LNX852114 LXT852085:LXT852114 MHP852085:MHP852114 MRL852085:MRL852114 NBH852085:NBH852114 NLD852085:NLD852114 NUZ852085:NUZ852114 OEV852085:OEV852114 OOR852085:OOR852114 OYN852085:OYN852114 PIJ852085:PIJ852114 PSF852085:PSF852114 QCB852085:QCB852114 QLX852085:QLX852114 QVT852085:QVT852114 RFP852085:RFP852114 RPL852085:RPL852114 RZH852085:RZH852114 SJD852085:SJD852114 SSZ852085:SSZ852114 TCV852085:TCV852114 TMR852085:TMR852114 TWN852085:TWN852114 UGJ852085:UGJ852114 UQF852085:UQF852114 VAB852085:VAB852114 VJX852085:VJX852114 VTT852085:VTT852114 WDP852085:WDP852114 WNL852085:WNL852114 AZ917621:AZ917650 KV917621:KV917650 UR917621:UR917650 AEN917621:AEN917650 AOJ917621:AOJ917650 AYF917621:AYF917650 BIB917621:BIB917650 BRX917621:BRX917650 CBT917621:CBT917650 CLP917621:CLP917650 CVL917621:CVL917650 DFH917621:DFH917650 DPD917621:DPD917650 DYZ917621:DYZ917650 EIV917621:EIV917650 ESR917621:ESR917650 FCN917621:FCN917650 FMJ917621:FMJ917650 FWF917621:FWF917650 GGB917621:GGB917650 GPX917621:GPX917650 GZT917621:GZT917650 HJP917621:HJP917650 HTL917621:HTL917650 IDH917621:IDH917650 IND917621:IND917650 IWZ917621:IWZ917650 JGV917621:JGV917650 JQR917621:JQR917650 KAN917621:KAN917650 KKJ917621:KKJ917650 KUF917621:KUF917650 LEB917621:LEB917650 LNX917621:LNX917650 LXT917621:LXT917650 MHP917621:MHP917650 MRL917621:MRL917650 NBH917621:NBH917650 NLD917621:NLD917650 NUZ917621:NUZ917650 OEV917621:OEV917650 OOR917621:OOR917650 OYN917621:OYN917650 PIJ917621:PIJ917650 PSF917621:PSF917650 QCB917621:QCB917650 QLX917621:QLX917650 QVT917621:QVT917650 RFP917621:RFP917650 RPL917621:RPL917650 RZH917621:RZH917650 SJD917621:SJD917650 SSZ917621:SSZ917650 TCV917621:TCV917650 TMR917621:TMR917650 TWN917621:TWN917650 UGJ917621:UGJ917650 UQF917621:UQF917650 VAB917621:VAB917650 VJX917621:VJX917650 VTT917621:VTT917650 WDP917621:WDP917650 WNL917621:WNL917650 AZ983157:AZ983186 KV983157:KV983186 UR983157:UR983186 AEN983157:AEN983186 AOJ983157:AOJ983186 AYF983157:AYF983186 BIB983157:BIB983186 BRX983157:BRX983186 CBT983157:CBT983186 CLP983157:CLP983186 CVL983157:CVL983186 DFH983157:DFH983186 DPD983157:DPD983186 DYZ983157:DYZ983186 EIV983157:EIV983186 ESR983157:ESR983186 FCN983157:FCN983186 FMJ983157:FMJ983186 FWF983157:FWF983186 GGB983157:GGB983186 GPX983157:GPX983186 GZT983157:GZT983186 HJP983157:HJP983186 HTL983157:HTL983186 IDH983157:IDH983186 IND983157:IND983186 IWZ983157:IWZ983186 JGV983157:JGV983186 JQR983157:JQR983186 KAN983157:KAN983186 KKJ983157:KKJ983186 KUF983157:KUF983186 LEB983157:LEB983186 LNX983157:LNX983186 LXT983157:LXT983186 MHP983157:MHP983186 MRL983157:MRL983186 NBH983157:NBH983186 NLD983157:NLD983186 NUZ983157:NUZ983186 OEV983157:OEV983186 OOR983157:OOR983186 OYN983157:OYN983186 PIJ983157:PIJ983186 PSF983157:PSF983186 QCB983157:QCB983186 QLX983157:QLX983186 QVT983157:QVT983186 RFP983157:RFP983186 RPL983157:RPL983186 RZH983157:RZH983186 SJD983157:SJD983186 SSZ983157:SSZ983186 TCV983157:TCV983186 TMR983157:TMR983186 TWN983157:TWN983186 UGJ983157:UGJ983186 UQF983157:UQF983186 VAB983157:VAB983186 VJX983157:VJX983186 VTT983157:VTT983186 WDP983157:WDP983186 WDL7:WDL146 WNH7:WNH146 VTP7:VTP146 AV7:AV146 KR7:KR146 UN7:UN146 AEJ7:AEJ146 AOF7:AOF146 AYB7:AYB146 BHX7:BHX146 BRT7:BRT146 CBP7:CBP146 CLL7:CLL146 CVH7:CVH146 DFD7:DFD146 DOZ7:DOZ146 DYV7:DYV146 EIR7:EIR146 ESN7:ESN146 FCJ7:FCJ146 FMF7:FMF146 FWB7:FWB146 GFX7:GFX146 GPT7:GPT146 GZP7:GZP146 HJL7:HJL146 HTH7:HTH146 IDD7:IDD146 IMZ7:IMZ146 IWV7:IWV146 JGR7:JGR146 JQN7:JQN146 KAJ7:KAJ146 KKF7:KKF146 KUB7:KUB146 LDX7:LDX146 LNT7:LNT146 LXP7:LXP146 MHL7:MHL146 MRH7:MRH146 NBD7:NBD146 NKZ7:NKZ146 NUV7:NUV146 OER7:OER146 OON7:OON146 OYJ7:OYJ146 PIF7:PIF146 PSB7:PSB146 QBX7:QBX146 QLT7:QLT146 QVP7:QVP146 RFL7:RFL146 RPH7:RPH146 RZD7:RZD146 SIZ7:SIZ146 SSV7:SSV146 TCR7:TCR146 TMN7:TMN146 TWJ7:TWJ146 UGF7:UGF146 UQB7:UQB146 UZX7:UZX146 VJT7:VJT146" xr:uid="{855F6B68-028B-4980-B22A-8A39AD64CF66}">
      <formula1>"สมเด็จ, มานพ, นิคม, คลองเตย,"</formula1>
    </dataValidation>
    <dataValidation type="list" allowBlank="1" showInputMessage="1" showErrorMessage="1" sqref="WNK983157:WNK983186 AY65653:AY65682 KU65653:KU65682 UQ65653:UQ65682 AEM65653:AEM65682 AOI65653:AOI65682 AYE65653:AYE65682 BIA65653:BIA65682 BRW65653:BRW65682 CBS65653:CBS65682 CLO65653:CLO65682 CVK65653:CVK65682 DFG65653:DFG65682 DPC65653:DPC65682 DYY65653:DYY65682 EIU65653:EIU65682 ESQ65653:ESQ65682 FCM65653:FCM65682 FMI65653:FMI65682 FWE65653:FWE65682 GGA65653:GGA65682 GPW65653:GPW65682 GZS65653:GZS65682 HJO65653:HJO65682 HTK65653:HTK65682 IDG65653:IDG65682 INC65653:INC65682 IWY65653:IWY65682 JGU65653:JGU65682 JQQ65653:JQQ65682 KAM65653:KAM65682 KKI65653:KKI65682 KUE65653:KUE65682 LEA65653:LEA65682 LNW65653:LNW65682 LXS65653:LXS65682 MHO65653:MHO65682 MRK65653:MRK65682 NBG65653:NBG65682 NLC65653:NLC65682 NUY65653:NUY65682 OEU65653:OEU65682 OOQ65653:OOQ65682 OYM65653:OYM65682 PII65653:PII65682 PSE65653:PSE65682 QCA65653:QCA65682 QLW65653:QLW65682 QVS65653:QVS65682 RFO65653:RFO65682 RPK65653:RPK65682 RZG65653:RZG65682 SJC65653:SJC65682 SSY65653:SSY65682 TCU65653:TCU65682 TMQ65653:TMQ65682 TWM65653:TWM65682 UGI65653:UGI65682 UQE65653:UQE65682 VAA65653:VAA65682 VJW65653:VJW65682 VTS65653:VTS65682 WDO65653:WDO65682 WNK65653:WNK65682 AY131189:AY131218 KU131189:KU131218 UQ131189:UQ131218 AEM131189:AEM131218 AOI131189:AOI131218 AYE131189:AYE131218 BIA131189:BIA131218 BRW131189:BRW131218 CBS131189:CBS131218 CLO131189:CLO131218 CVK131189:CVK131218 DFG131189:DFG131218 DPC131189:DPC131218 DYY131189:DYY131218 EIU131189:EIU131218 ESQ131189:ESQ131218 FCM131189:FCM131218 FMI131189:FMI131218 FWE131189:FWE131218 GGA131189:GGA131218 GPW131189:GPW131218 GZS131189:GZS131218 HJO131189:HJO131218 HTK131189:HTK131218 IDG131189:IDG131218 INC131189:INC131218 IWY131189:IWY131218 JGU131189:JGU131218 JQQ131189:JQQ131218 KAM131189:KAM131218 KKI131189:KKI131218 KUE131189:KUE131218 LEA131189:LEA131218 LNW131189:LNW131218 LXS131189:LXS131218 MHO131189:MHO131218 MRK131189:MRK131218 NBG131189:NBG131218 NLC131189:NLC131218 NUY131189:NUY131218 OEU131189:OEU131218 OOQ131189:OOQ131218 OYM131189:OYM131218 PII131189:PII131218 PSE131189:PSE131218 QCA131189:QCA131218 QLW131189:QLW131218 QVS131189:QVS131218 RFO131189:RFO131218 RPK131189:RPK131218 RZG131189:RZG131218 SJC131189:SJC131218 SSY131189:SSY131218 TCU131189:TCU131218 TMQ131189:TMQ131218 TWM131189:TWM131218 UGI131189:UGI131218 UQE131189:UQE131218 VAA131189:VAA131218 VJW131189:VJW131218 VTS131189:VTS131218 WDO131189:WDO131218 WNK131189:WNK131218 AY196725:AY196754 KU196725:KU196754 UQ196725:UQ196754 AEM196725:AEM196754 AOI196725:AOI196754 AYE196725:AYE196754 BIA196725:BIA196754 BRW196725:BRW196754 CBS196725:CBS196754 CLO196725:CLO196754 CVK196725:CVK196754 DFG196725:DFG196754 DPC196725:DPC196754 DYY196725:DYY196754 EIU196725:EIU196754 ESQ196725:ESQ196754 FCM196725:FCM196754 FMI196725:FMI196754 FWE196725:FWE196754 GGA196725:GGA196754 GPW196725:GPW196754 GZS196725:GZS196754 HJO196725:HJO196754 HTK196725:HTK196754 IDG196725:IDG196754 INC196725:INC196754 IWY196725:IWY196754 JGU196725:JGU196754 JQQ196725:JQQ196754 KAM196725:KAM196754 KKI196725:KKI196754 KUE196725:KUE196754 LEA196725:LEA196754 LNW196725:LNW196754 LXS196725:LXS196754 MHO196725:MHO196754 MRK196725:MRK196754 NBG196725:NBG196754 NLC196725:NLC196754 NUY196725:NUY196754 OEU196725:OEU196754 OOQ196725:OOQ196754 OYM196725:OYM196754 PII196725:PII196754 PSE196725:PSE196754 QCA196725:QCA196754 QLW196725:QLW196754 QVS196725:QVS196754 RFO196725:RFO196754 RPK196725:RPK196754 RZG196725:RZG196754 SJC196725:SJC196754 SSY196725:SSY196754 TCU196725:TCU196754 TMQ196725:TMQ196754 TWM196725:TWM196754 UGI196725:UGI196754 UQE196725:UQE196754 VAA196725:VAA196754 VJW196725:VJW196754 VTS196725:VTS196754 WDO196725:WDO196754 WNK196725:WNK196754 AY262261:AY262290 KU262261:KU262290 UQ262261:UQ262290 AEM262261:AEM262290 AOI262261:AOI262290 AYE262261:AYE262290 BIA262261:BIA262290 BRW262261:BRW262290 CBS262261:CBS262290 CLO262261:CLO262290 CVK262261:CVK262290 DFG262261:DFG262290 DPC262261:DPC262290 DYY262261:DYY262290 EIU262261:EIU262290 ESQ262261:ESQ262290 FCM262261:FCM262290 FMI262261:FMI262290 FWE262261:FWE262290 GGA262261:GGA262290 GPW262261:GPW262290 GZS262261:GZS262290 HJO262261:HJO262290 HTK262261:HTK262290 IDG262261:IDG262290 INC262261:INC262290 IWY262261:IWY262290 JGU262261:JGU262290 JQQ262261:JQQ262290 KAM262261:KAM262290 KKI262261:KKI262290 KUE262261:KUE262290 LEA262261:LEA262290 LNW262261:LNW262290 LXS262261:LXS262290 MHO262261:MHO262290 MRK262261:MRK262290 NBG262261:NBG262290 NLC262261:NLC262290 NUY262261:NUY262290 OEU262261:OEU262290 OOQ262261:OOQ262290 OYM262261:OYM262290 PII262261:PII262290 PSE262261:PSE262290 QCA262261:QCA262290 QLW262261:QLW262290 QVS262261:QVS262290 RFO262261:RFO262290 RPK262261:RPK262290 RZG262261:RZG262290 SJC262261:SJC262290 SSY262261:SSY262290 TCU262261:TCU262290 TMQ262261:TMQ262290 TWM262261:TWM262290 UGI262261:UGI262290 UQE262261:UQE262290 VAA262261:VAA262290 VJW262261:VJW262290 VTS262261:VTS262290 WDO262261:WDO262290 WNK262261:WNK262290 AY327797:AY327826 KU327797:KU327826 UQ327797:UQ327826 AEM327797:AEM327826 AOI327797:AOI327826 AYE327797:AYE327826 BIA327797:BIA327826 BRW327797:BRW327826 CBS327797:CBS327826 CLO327797:CLO327826 CVK327797:CVK327826 DFG327797:DFG327826 DPC327797:DPC327826 DYY327797:DYY327826 EIU327797:EIU327826 ESQ327797:ESQ327826 FCM327797:FCM327826 FMI327797:FMI327826 FWE327797:FWE327826 GGA327797:GGA327826 GPW327797:GPW327826 GZS327797:GZS327826 HJO327797:HJO327826 HTK327797:HTK327826 IDG327797:IDG327826 INC327797:INC327826 IWY327797:IWY327826 JGU327797:JGU327826 JQQ327797:JQQ327826 KAM327797:KAM327826 KKI327797:KKI327826 KUE327797:KUE327826 LEA327797:LEA327826 LNW327797:LNW327826 LXS327797:LXS327826 MHO327797:MHO327826 MRK327797:MRK327826 NBG327797:NBG327826 NLC327797:NLC327826 NUY327797:NUY327826 OEU327797:OEU327826 OOQ327797:OOQ327826 OYM327797:OYM327826 PII327797:PII327826 PSE327797:PSE327826 QCA327797:QCA327826 QLW327797:QLW327826 QVS327797:QVS327826 RFO327797:RFO327826 RPK327797:RPK327826 RZG327797:RZG327826 SJC327797:SJC327826 SSY327797:SSY327826 TCU327797:TCU327826 TMQ327797:TMQ327826 TWM327797:TWM327826 UGI327797:UGI327826 UQE327797:UQE327826 VAA327797:VAA327826 VJW327797:VJW327826 VTS327797:VTS327826 WDO327797:WDO327826 WNK327797:WNK327826 AY393333:AY393362 KU393333:KU393362 UQ393333:UQ393362 AEM393333:AEM393362 AOI393333:AOI393362 AYE393333:AYE393362 BIA393333:BIA393362 BRW393333:BRW393362 CBS393333:CBS393362 CLO393333:CLO393362 CVK393333:CVK393362 DFG393333:DFG393362 DPC393333:DPC393362 DYY393333:DYY393362 EIU393333:EIU393362 ESQ393333:ESQ393362 FCM393333:FCM393362 FMI393333:FMI393362 FWE393333:FWE393362 GGA393333:GGA393362 GPW393333:GPW393362 GZS393333:GZS393362 HJO393333:HJO393362 HTK393333:HTK393362 IDG393333:IDG393362 INC393333:INC393362 IWY393333:IWY393362 JGU393333:JGU393362 JQQ393333:JQQ393362 KAM393333:KAM393362 KKI393333:KKI393362 KUE393333:KUE393362 LEA393333:LEA393362 LNW393333:LNW393362 LXS393333:LXS393362 MHO393333:MHO393362 MRK393333:MRK393362 NBG393333:NBG393362 NLC393333:NLC393362 NUY393333:NUY393362 OEU393333:OEU393362 OOQ393333:OOQ393362 OYM393333:OYM393362 PII393333:PII393362 PSE393333:PSE393362 QCA393333:QCA393362 QLW393333:QLW393362 QVS393333:QVS393362 RFO393333:RFO393362 RPK393333:RPK393362 RZG393333:RZG393362 SJC393333:SJC393362 SSY393333:SSY393362 TCU393333:TCU393362 TMQ393333:TMQ393362 TWM393333:TWM393362 UGI393333:UGI393362 UQE393333:UQE393362 VAA393333:VAA393362 VJW393333:VJW393362 VTS393333:VTS393362 WDO393333:WDO393362 WNK393333:WNK393362 AY458869:AY458898 KU458869:KU458898 UQ458869:UQ458898 AEM458869:AEM458898 AOI458869:AOI458898 AYE458869:AYE458898 BIA458869:BIA458898 BRW458869:BRW458898 CBS458869:CBS458898 CLO458869:CLO458898 CVK458869:CVK458898 DFG458869:DFG458898 DPC458869:DPC458898 DYY458869:DYY458898 EIU458869:EIU458898 ESQ458869:ESQ458898 FCM458869:FCM458898 FMI458869:FMI458898 FWE458869:FWE458898 GGA458869:GGA458898 GPW458869:GPW458898 GZS458869:GZS458898 HJO458869:HJO458898 HTK458869:HTK458898 IDG458869:IDG458898 INC458869:INC458898 IWY458869:IWY458898 JGU458869:JGU458898 JQQ458869:JQQ458898 KAM458869:KAM458898 KKI458869:KKI458898 KUE458869:KUE458898 LEA458869:LEA458898 LNW458869:LNW458898 LXS458869:LXS458898 MHO458869:MHO458898 MRK458869:MRK458898 NBG458869:NBG458898 NLC458869:NLC458898 NUY458869:NUY458898 OEU458869:OEU458898 OOQ458869:OOQ458898 OYM458869:OYM458898 PII458869:PII458898 PSE458869:PSE458898 QCA458869:QCA458898 QLW458869:QLW458898 QVS458869:QVS458898 RFO458869:RFO458898 RPK458869:RPK458898 RZG458869:RZG458898 SJC458869:SJC458898 SSY458869:SSY458898 TCU458869:TCU458898 TMQ458869:TMQ458898 TWM458869:TWM458898 UGI458869:UGI458898 UQE458869:UQE458898 VAA458869:VAA458898 VJW458869:VJW458898 VTS458869:VTS458898 WDO458869:WDO458898 WNK458869:WNK458898 AY524405:AY524434 KU524405:KU524434 UQ524405:UQ524434 AEM524405:AEM524434 AOI524405:AOI524434 AYE524405:AYE524434 BIA524405:BIA524434 BRW524405:BRW524434 CBS524405:CBS524434 CLO524405:CLO524434 CVK524405:CVK524434 DFG524405:DFG524434 DPC524405:DPC524434 DYY524405:DYY524434 EIU524405:EIU524434 ESQ524405:ESQ524434 FCM524405:FCM524434 FMI524405:FMI524434 FWE524405:FWE524434 GGA524405:GGA524434 GPW524405:GPW524434 GZS524405:GZS524434 HJO524405:HJO524434 HTK524405:HTK524434 IDG524405:IDG524434 INC524405:INC524434 IWY524405:IWY524434 JGU524405:JGU524434 JQQ524405:JQQ524434 KAM524405:KAM524434 KKI524405:KKI524434 KUE524405:KUE524434 LEA524405:LEA524434 LNW524405:LNW524434 LXS524405:LXS524434 MHO524405:MHO524434 MRK524405:MRK524434 NBG524405:NBG524434 NLC524405:NLC524434 NUY524405:NUY524434 OEU524405:OEU524434 OOQ524405:OOQ524434 OYM524405:OYM524434 PII524405:PII524434 PSE524405:PSE524434 QCA524405:QCA524434 QLW524405:QLW524434 QVS524405:QVS524434 RFO524405:RFO524434 RPK524405:RPK524434 RZG524405:RZG524434 SJC524405:SJC524434 SSY524405:SSY524434 TCU524405:TCU524434 TMQ524405:TMQ524434 TWM524405:TWM524434 UGI524405:UGI524434 UQE524405:UQE524434 VAA524405:VAA524434 VJW524405:VJW524434 VTS524405:VTS524434 WDO524405:WDO524434 WNK524405:WNK524434 AY589941:AY589970 KU589941:KU589970 UQ589941:UQ589970 AEM589941:AEM589970 AOI589941:AOI589970 AYE589941:AYE589970 BIA589941:BIA589970 BRW589941:BRW589970 CBS589941:CBS589970 CLO589941:CLO589970 CVK589941:CVK589970 DFG589941:DFG589970 DPC589941:DPC589970 DYY589941:DYY589970 EIU589941:EIU589970 ESQ589941:ESQ589970 FCM589941:FCM589970 FMI589941:FMI589970 FWE589941:FWE589970 GGA589941:GGA589970 GPW589941:GPW589970 GZS589941:GZS589970 HJO589941:HJO589970 HTK589941:HTK589970 IDG589941:IDG589970 INC589941:INC589970 IWY589941:IWY589970 JGU589941:JGU589970 JQQ589941:JQQ589970 KAM589941:KAM589970 KKI589941:KKI589970 KUE589941:KUE589970 LEA589941:LEA589970 LNW589941:LNW589970 LXS589941:LXS589970 MHO589941:MHO589970 MRK589941:MRK589970 NBG589941:NBG589970 NLC589941:NLC589970 NUY589941:NUY589970 OEU589941:OEU589970 OOQ589941:OOQ589970 OYM589941:OYM589970 PII589941:PII589970 PSE589941:PSE589970 QCA589941:QCA589970 QLW589941:QLW589970 QVS589941:QVS589970 RFO589941:RFO589970 RPK589941:RPK589970 RZG589941:RZG589970 SJC589941:SJC589970 SSY589941:SSY589970 TCU589941:TCU589970 TMQ589941:TMQ589970 TWM589941:TWM589970 UGI589941:UGI589970 UQE589941:UQE589970 VAA589941:VAA589970 VJW589941:VJW589970 VTS589941:VTS589970 WDO589941:WDO589970 WNK589941:WNK589970 AY655477:AY655506 KU655477:KU655506 UQ655477:UQ655506 AEM655477:AEM655506 AOI655477:AOI655506 AYE655477:AYE655506 BIA655477:BIA655506 BRW655477:BRW655506 CBS655477:CBS655506 CLO655477:CLO655506 CVK655477:CVK655506 DFG655477:DFG655506 DPC655477:DPC655506 DYY655477:DYY655506 EIU655477:EIU655506 ESQ655477:ESQ655506 FCM655477:FCM655506 FMI655477:FMI655506 FWE655477:FWE655506 GGA655477:GGA655506 GPW655477:GPW655506 GZS655477:GZS655506 HJO655477:HJO655506 HTK655477:HTK655506 IDG655477:IDG655506 INC655477:INC655506 IWY655477:IWY655506 JGU655477:JGU655506 JQQ655477:JQQ655506 KAM655477:KAM655506 KKI655477:KKI655506 KUE655477:KUE655506 LEA655477:LEA655506 LNW655477:LNW655506 LXS655477:LXS655506 MHO655477:MHO655506 MRK655477:MRK655506 NBG655477:NBG655506 NLC655477:NLC655506 NUY655477:NUY655506 OEU655477:OEU655506 OOQ655477:OOQ655506 OYM655477:OYM655506 PII655477:PII655506 PSE655477:PSE655506 QCA655477:QCA655506 QLW655477:QLW655506 QVS655477:QVS655506 RFO655477:RFO655506 RPK655477:RPK655506 RZG655477:RZG655506 SJC655477:SJC655506 SSY655477:SSY655506 TCU655477:TCU655506 TMQ655477:TMQ655506 TWM655477:TWM655506 UGI655477:UGI655506 UQE655477:UQE655506 VAA655477:VAA655506 VJW655477:VJW655506 VTS655477:VTS655506 WDO655477:WDO655506 WNK655477:WNK655506 AY721013:AY721042 KU721013:KU721042 UQ721013:UQ721042 AEM721013:AEM721042 AOI721013:AOI721042 AYE721013:AYE721042 BIA721013:BIA721042 BRW721013:BRW721042 CBS721013:CBS721042 CLO721013:CLO721042 CVK721013:CVK721042 DFG721013:DFG721042 DPC721013:DPC721042 DYY721013:DYY721042 EIU721013:EIU721042 ESQ721013:ESQ721042 FCM721013:FCM721042 FMI721013:FMI721042 FWE721013:FWE721042 GGA721013:GGA721042 GPW721013:GPW721042 GZS721013:GZS721042 HJO721013:HJO721042 HTK721013:HTK721042 IDG721013:IDG721042 INC721013:INC721042 IWY721013:IWY721042 JGU721013:JGU721042 JQQ721013:JQQ721042 KAM721013:KAM721042 KKI721013:KKI721042 KUE721013:KUE721042 LEA721013:LEA721042 LNW721013:LNW721042 LXS721013:LXS721042 MHO721013:MHO721042 MRK721013:MRK721042 NBG721013:NBG721042 NLC721013:NLC721042 NUY721013:NUY721042 OEU721013:OEU721042 OOQ721013:OOQ721042 OYM721013:OYM721042 PII721013:PII721042 PSE721013:PSE721042 QCA721013:QCA721042 QLW721013:QLW721042 QVS721013:QVS721042 RFO721013:RFO721042 RPK721013:RPK721042 RZG721013:RZG721042 SJC721013:SJC721042 SSY721013:SSY721042 TCU721013:TCU721042 TMQ721013:TMQ721042 TWM721013:TWM721042 UGI721013:UGI721042 UQE721013:UQE721042 VAA721013:VAA721042 VJW721013:VJW721042 VTS721013:VTS721042 WDO721013:WDO721042 WNK721013:WNK721042 AY786549:AY786578 KU786549:KU786578 UQ786549:UQ786578 AEM786549:AEM786578 AOI786549:AOI786578 AYE786549:AYE786578 BIA786549:BIA786578 BRW786549:BRW786578 CBS786549:CBS786578 CLO786549:CLO786578 CVK786549:CVK786578 DFG786549:DFG786578 DPC786549:DPC786578 DYY786549:DYY786578 EIU786549:EIU786578 ESQ786549:ESQ786578 FCM786549:FCM786578 FMI786549:FMI786578 FWE786549:FWE786578 GGA786549:GGA786578 GPW786549:GPW786578 GZS786549:GZS786578 HJO786549:HJO786578 HTK786549:HTK786578 IDG786549:IDG786578 INC786549:INC786578 IWY786549:IWY786578 JGU786549:JGU786578 JQQ786549:JQQ786578 KAM786549:KAM786578 KKI786549:KKI786578 KUE786549:KUE786578 LEA786549:LEA786578 LNW786549:LNW786578 LXS786549:LXS786578 MHO786549:MHO786578 MRK786549:MRK786578 NBG786549:NBG786578 NLC786549:NLC786578 NUY786549:NUY786578 OEU786549:OEU786578 OOQ786549:OOQ786578 OYM786549:OYM786578 PII786549:PII786578 PSE786549:PSE786578 QCA786549:QCA786578 QLW786549:QLW786578 QVS786549:QVS786578 RFO786549:RFO786578 RPK786549:RPK786578 RZG786549:RZG786578 SJC786549:SJC786578 SSY786549:SSY786578 TCU786549:TCU786578 TMQ786549:TMQ786578 TWM786549:TWM786578 UGI786549:UGI786578 UQE786549:UQE786578 VAA786549:VAA786578 VJW786549:VJW786578 VTS786549:VTS786578 WDO786549:WDO786578 WNK786549:WNK786578 AY852085:AY852114 KU852085:KU852114 UQ852085:UQ852114 AEM852085:AEM852114 AOI852085:AOI852114 AYE852085:AYE852114 BIA852085:BIA852114 BRW852085:BRW852114 CBS852085:CBS852114 CLO852085:CLO852114 CVK852085:CVK852114 DFG852085:DFG852114 DPC852085:DPC852114 DYY852085:DYY852114 EIU852085:EIU852114 ESQ852085:ESQ852114 FCM852085:FCM852114 FMI852085:FMI852114 FWE852085:FWE852114 GGA852085:GGA852114 GPW852085:GPW852114 GZS852085:GZS852114 HJO852085:HJO852114 HTK852085:HTK852114 IDG852085:IDG852114 INC852085:INC852114 IWY852085:IWY852114 JGU852085:JGU852114 JQQ852085:JQQ852114 KAM852085:KAM852114 KKI852085:KKI852114 KUE852085:KUE852114 LEA852085:LEA852114 LNW852085:LNW852114 LXS852085:LXS852114 MHO852085:MHO852114 MRK852085:MRK852114 NBG852085:NBG852114 NLC852085:NLC852114 NUY852085:NUY852114 OEU852085:OEU852114 OOQ852085:OOQ852114 OYM852085:OYM852114 PII852085:PII852114 PSE852085:PSE852114 QCA852085:QCA852114 QLW852085:QLW852114 QVS852085:QVS852114 RFO852085:RFO852114 RPK852085:RPK852114 RZG852085:RZG852114 SJC852085:SJC852114 SSY852085:SSY852114 TCU852085:TCU852114 TMQ852085:TMQ852114 TWM852085:TWM852114 UGI852085:UGI852114 UQE852085:UQE852114 VAA852085:VAA852114 VJW852085:VJW852114 VTS852085:VTS852114 WDO852085:WDO852114 WNK852085:WNK852114 AY917621:AY917650 KU917621:KU917650 UQ917621:UQ917650 AEM917621:AEM917650 AOI917621:AOI917650 AYE917621:AYE917650 BIA917621:BIA917650 BRW917621:BRW917650 CBS917621:CBS917650 CLO917621:CLO917650 CVK917621:CVK917650 DFG917621:DFG917650 DPC917621:DPC917650 DYY917621:DYY917650 EIU917621:EIU917650 ESQ917621:ESQ917650 FCM917621:FCM917650 FMI917621:FMI917650 FWE917621:FWE917650 GGA917621:GGA917650 GPW917621:GPW917650 GZS917621:GZS917650 HJO917621:HJO917650 HTK917621:HTK917650 IDG917621:IDG917650 INC917621:INC917650 IWY917621:IWY917650 JGU917621:JGU917650 JQQ917621:JQQ917650 KAM917621:KAM917650 KKI917621:KKI917650 KUE917621:KUE917650 LEA917621:LEA917650 LNW917621:LNW917650 LXS917621:LXS917650 MHO917621:MHO917650 MRK917621:MRK917650 NBG917621:NBG917650 NLC917621:NLC917650 NUY917621:NUY917650 OEU917621:OEU917650 OOQ917621:OOQ917650 OYM917621:OYM917650 PII917621:PII917650 PSE917621:PSE917650 QCA917621:QCA917650 QLW917621:QLW917650 QVS917621:QVS917650 RFO917621:RFO917650 RPK917621:RPK917650 RZG917621:RZG917650 SJC917621:SJC917650 SSY917621:SSY917650 TCU917621:TCU917650 TMQ917621:TMQ917650 TWM917621:TWM917650 UGI917621:UGI917650 UQE917621:UQE917650 VAA917621:VAA917650 VJW917621:VJW917650 VTS917621:VTS917650 WDO917621:WDO917650 WNK917621:WNK917650 AY983157:AY983186 KU983157:KU983186 UQ983157:UQ983186 AEM983157:AEM983186 AOI983157:AOI983186 AYE983157:AYE983186 BIA983157:BIA983186 BRW983157:BRW983186 CBS983157:CBS983186 CLO983157:CLO983186 CVK983157:CVK983186 DFG983157:DFG983186 DPC983157:DPC983186 DYY983157:DYY983186 EIU983157:EIU983186 ESQ983157:ESQ983186 FCM983157:FCM983186 FMI983157:FMI983186 FWE983157:FWE983186 GGA983157:GGA983186 GPW983157:GPW983186 GZS983157:GZS983186 HJO983157:HJO983186 HTK983157:HTK983186 IDG983157:IDG983186 INC983157:INC983186 IWY983157:IWY983186 JGU983157:JGU983186 JQQ983157:JQQ983186 KAM983157:KAM983186 KKI983157:KKI983186 KUE983157:KUE983186 LEA983157:LEA983186 LNW983157:LNW983186 LXS983157:LXS983186 MHO983157:MHO983186 MRK983157:MRK983186 NBG983157:NBG983186 NLC983157:NLC983186 NUY983157:NUY983186 OEU983157:OEU983186 OOQ983157:OOQ983186 OYM983157:OYM983186 PII983157:PII983186 PSE983157:PSE983186 QCA983157:QCA983186 QLW983157:QLW983186 QVS983157:QVS983186 RFO983157:RFO983186 RPK983157:RPK983186 RZG983157:RZG983186 SJC983157:SJC983186 SSY983157:SSY983186 TCU983157:TCU983186 TMQ983157:TMQ983186 TWM983157:TWM983186 UGI983157:UGI983186 UQE983157:UQE983186 VAA983157:VAA983186 VJW983157:VJW983186 VTS983157:VTS983186 WDO983157:WDO983186 KQ7:KQ146 UM7:UM146 AEI7:AEI146 AOE7:AOE146 AYA7:AYA146 BHW7:BHW146 BRS7:BRS146 CBO7:CBO146 CLK7:CLK146 CVG7:CVG146 DFC7:DFC146 DOY7:DOY146 DYU7:DYU146 EIQ7:EIQ146 ESM7:ESM146 FCI7:FCI146 FME7:FME146 FWA7:FWA146 GFW7:GFW146 GPS7:GPS146 GZO7:GZO146 HJK7:HJK146 HTG7:HTG146 IDC7:IDC146 IMY7:IMY146 IWU7:IWU146 JGQ7:JGQ146 JQM7:JQM146 KAI7:KAI146 KKE7:KKE146 KUA7:KUA146 LDW7:LDW146 LNS7:LNS146 LXO7:LXO146 MHK7:MHK146 MRG7:MRG146 NBC7:NBC146 NKY7:NKY146 NUU7:NUU146 OEQ7:OEQ146 OOM7:OOM146 OYI7:OYI146 PIE7:PIE146 PSA7:PSA146 QBW7:QBW146 QLS7:QLS146 QVO7:QVO146 RFK7:RFK146 RPG7:RPG146 RZC7:RZC146 SIY7:SIY146 SSU7:SSU146 TCQ7:TCQ146 TMM7:TMM146 TWI7:TWI146 UGE7:UGE146 UQA7:UQA146 UZW7:UZW146 VJS7:VJS146 VTO7:VTO146 WDK7:WDK146 WNG7:WNG146 AU7:AU146" xr:uid="{838E78F2-783C-433A-B3B0-B785667219EB}">
      <formula1>"จันทราภรณ์, รัฏฏิการ์, คชเขม, มาร์ค,สมเด็"</formula1>
    </dataValidation>
  </dataValidations>
  <printOptions horizontalCentered="1"/>
  <pageMargins left="0" right="0" top="0.39370078740157499" bottom="1.4" header="0.39370078740157499" footer="0.31496062992126"/>
  <pageSetup paperSize="8" scale="29" fitToHeight="2" orientation="landscape" horizontalDpi="1200" verticalDpi="1200" r:id="rId1"/>
  <headerFooter alignWithMargins="0"/>
  <ignoredErrors>
    <ignoredError sqref="AM147 AD14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E139 E111 E23 E15 E7 E27 E31 E75 E83 E91 E99 E103 E107 E11 E115 E135 E119 E87 E123 E127 E131 E19 E35 E39 E43 E47 E51 E55 E67 E59 E63 E71 E79 E95 E143</xm:sqref>
        </x14:dataValidation>
        <x14:dataValidation type="list" allowBlank="1" showInputMessage="1" showErrorMessage="1" xr:uid="{5BF4A911-C3A6-4585-85E2-A5F3557B19DD}">
          <x14:formula1>
            <xm:f>Ref!$D$2:$D$3</xm:f>
          </x14:formula1>
          <xm:sqref>L7 L15 L23 L27 L31 L75 L83 L91 L99 L103 L107 L111 L139 W7 W15 W23 W27 W31 W75 W83 W91 W99 W103 W107 W111 W139 AF7 AF15 AF23 AF27 AF31 AF75 AF83 AF91 AF99 AF103 AF107 AF111 AF139 L11 W11 AF11 L115 W115 AF115 L135 W135 AF135 L119 W119 AF119 L87 W87 AF87 L123 W123 AF123 L127 W127 AF127 L131 W131 AF131 L19 W19 AF19 L35 W35 AF35 L39 W39 AF39 L43 W43 AF43 L47 W47 AF47 L51 W51 AF51 L55 W55 AF55 L67 W67 AF67 L59 W59 AF59 L63 W63 AF63 L71 W71 AF71 L79 W79 AF79 L95 W95 AF95 L143 W143 AF143</xm:sqref>
        </x14:dataValidation>
        <x14:dataValidation type="list" allowBlank="1" showInputMessage="1" showErrorMessage="1" xr:uid="{6070C04B-CD25-4340-BB4C-216D792EDCD6}">
          <x14:formula1>
            <xm:f>Ref!$C$2:$C$16</xm:f>
          </x14:formula1>
          <xm:sqref>F111 F107 F103 F139 F91 F83 F75 F31 F27 F99 F7 F15 F23 F11 F115 F135 F119 F87 F123 F127 F131 F19 F35 F39 F43 F47 F51 F55 F67 F59 F63 F71 F79 F95 F143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85"/>
  <sheetViews>
    <sheetView topLeftCell="A43" zoomScale="85" zoomScaleNormal="85" workbookViewId="0">
      <selection activeCell="F68" sqref="F68"/>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19.5546875" style="67" customWidth="1"/>
    <col min="10" max="15" width="15.77734375" style="58" customWidth="1"/>
    <col min="16" max="17" width="8" style="58" customWidth="1"/>
    <col min="18" max="257" width="9.109375" style="58" hidden="1"/>
    <col min="258" max="258" width="11" style="58" customWidth="1"/>
    <col min="259" max="259" width="24"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6" width="0" style="58" hidden="1"/>
    <col min="16147" max="16384" width="9.109375" style="58" hidden="1"/>
  </cols>
  <sheetData>
    <row r="1" spans="1:265" s="751" customFormat="1" ht="22.8" customHeight="1">
      <c r="A1" s="758" t="s">
        <v>156</v>
      </c>
      <c r="B1" s="748"/>
      <c r="C1" s="748"/>
      <c r="D1" s="747"/>
      <c r="E1" s="749"/>
      <c r="F1" s="749"/>
      <c r="G1" s="749"/>
      <c r="H1" s="749"/>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c r="AT1" s="750"/>
      <c r="AU1" s="750"/>
      <c r="AV1" s="750"/>
      <c r="AW1" s="750"/>
      <c r="AX1" s="750"/>
      <c r="AY1" s="750"/>
      <c r="AZ1" s="750"/>
      <c r="BA1" s="750"/>
      <c r="BB1" s="750"/>
      <c r="BC1" s="750"/>
      <c r="BD1" s="750"/>
      <c r="BE1" s="750"/>
      <c r="BF1" s="750"/>
      <c r="BG1" s="750"/>
      <c r="BH1" s="750"/>
      <c r="BI1" s="750"/>
      <c r="BJ1" s="750"/>
      <c r="BK1" s="750"/>
      <c r="BL1" s="750"/>
      <c r="BM1" s="750"/>
      <c r="BN1" s="750"/>
      <c r="BO1" s="750"/>
      <c r="BP1" s="750"/>
      <c r="BQ1" s="750"/>
      <c r="BR1" s="750"/>
      <c r="BS1" s="750"/>
      <c r="BT1" s="750"/>
      <c r="BU1" s="750"/>
      <c r="BV1" s="750"/>
      <c r="BW1" s="750"/>
      <c r="BX1" s="750"/>
      <c r="BY1" s="750"/>
      <c r="BZ1" s="750"/>
      <c r="CA1" s="750"/>
      <c r="CB1" s="750"/>
      <c r="CC1" s="750"/>
      <c r="CD1" s="750"/>
      <c r="CE1" s="750"/>
      <c r="CF1" s="750"/>
      <c r="CG1" s="750"/>
      <c r="CH1" s="750"/>
      <c r="CI1" s="750"/>
      <c r="CJ1" s="750"/>
      <c r="CK1" s="750"/>
      <c r="CL1" s="750"/>
      <c r="CM1" s="750"/>
      <c r="CN1" s="750"/>
      <c r="CO1" s="750"/>
      <c r="CP1" s="750"/>
      <c r="CQ1" s="750"/>
      <c r="CR1" s="750"/>
      <c r="CS1" s="750"/>
      <c r="CT1" s="750"/>
      <c r="CU1" s="750"/>
      <c r="CV1" s="750"/>
      <c r="CW1" s="750"/>
      <c r="CX1" s="750"/>
      <c r="CY1" s="750"/>
      <c r="CZ1" s="750"/>
      <c r="DA1" s="750"/>
      <c r="DB1" s="750"/>
      <c r="DC1" s="750"/>
      <c r="DD1" s="750"/>
      <c r="DE1" s="750"/>
      <c r="DF1" s="750"/>
      <c r="DG1" s="750"/>
      <c r="DH1" s="750"/>
      <c r="DI1" s="750"/>
      <c r="DJ1" s="750"/>
      <c r="DK1" s="750"/>
      <c r="DL1" s="750"/>
      <c r="DM1" s="750"/>
      <c r="DN1" s="750"/>
      <c r="DO1" s="750"/>
      <c r="DP1" s="750"/>
      <c r="DQ1" s="750"/>
      <c r="DR1" s="750"/>
      <c r="DS1" s="750"/>
      <c r="DT1" s="750"/>
      <c r="DU1" s="750"/>
      <c r="DV1" s="750"/>
      <c r="DW1" s="750"/>
      <c r="DX1" s="750"/>
      <c r="DY1" s="750"/>
      <c r="DZ1" s="750"/>
      <c r="EA1" s="750"/>
      <c r="EB1" s="750"/>
      <c r="EC1" s="750"/>
      <c r="ED1" s="750"/>
      <c r="EE1" s="750"/>
      <c r="EF1" s="750"/>
      <c r="EG1" s="750"/>
      <c r="EH1" s="750"/>
      <c r="EI1" s="750"/>
      <c r="EJ1" s="750"/>
      <c r="EK1" s="750"/>
      <c r="EL1" s="750"/>
      <c r="EM1" s="750"/>
      <c r="EN1" s="750"/>
      <c r="EO1" s="750"/>
      <c r="EP1" s="750"/>
      <c r="EQ1" s="750"/>
      <c r="ER1" s="750"/>
      <c r="ES1" s="750"/>
      <c r="ET1" s="750"/>
      <c r="EU1" s="750"/>
      <c r="EV1" s="750"/>
      <c r="EW1" s="750"/>
      <c r="EX1" s="750"/>
      <c r="EY1" s="750"/>
      <c r="EZ1" s="750"/>
      <c r="FA1" s="750"/>
      <c r="FB1" s="750"/>
      <c r="FC1" s="750"/>
      <c r="FD1" s="750"/>
      <c r="FE1" s="750"/>
      <c r="FF1" s="750"/>
      <c r="FG1" s="750"/>
      <c r="FH1" s="750"/>
      <c r="FI1" s="750"/>
      <c r="FJ1" s="750"/>
      <c r="FK1" s="750"/>
      <c r="FL1" s="750"/>
      <c r="FM1" s="750"/>
      <c r="FN1" s="750"/>
      <c r="FO1" s="750"/>
      <c r="FP1" s="750"/>
      <c r="FQ1" s="750"/>
      <c r="FR1" s="750"/>
      <c r="FS1" s="750"/>
      <c r="FT1" s="750"/>
      <c r="FU1" s="750"/>
      <c r="FV1" s="750"/>
      <c r="FW1" s="750"/>
      <c r="FX1" s="750"/>
      <c r="FY1" s="750"/>
      <c r="FZ1" s="750"/>
      <c r="GA1" s="750"/>
      <c r="GB1" s="750"/>
      <c r="GC1" s="750"/>
      <c r="GD1" s="750"/>
      <c r="GE1" s="750"/>
      <c r="GF1" s="750"/>
      <c r="GG1" s="750"/>
      <c r="GH1" s="750"/>
      <c r="GI1" s="750"/>
      <c r="GJ1" s="750"/>
      <c r="GK1" s="750"/>
      <c r="GL1" s="750"/>
      <c r="GM1" s="750"/>
      <c r="GN1" s="750"/>
      <c r="GO1" s="750"/>
      <c r="GP1" s="750"/>
      <c r="GQ1" s="750"/>
      <c r="GR1" s="750"/>
      <c r="GS1" s="750"/>
      <c r="GT1" s="750"/>
      <c r="GU1" s="750"/>
      <c r="GV1" s="750"/>
      <c r="GW1" s="750"/>
      <c r="GX1" s="750"/>
      <c r="GY1" s="750"/>
      <c r="GZ1" s="750"/>
      <c r="HA1" s="750"/>
      <c r="HB1" s="750"/>
      <c r="HC1" s="750"/>
      <c r="HD1" s="750"/>
      <c r="HE1" s="750"/>
      <c r="HF1" s="750"/>
      <c r="HG1" s="750"/>
      <c r="HH1" s="750"/>
      <c r="HI1" s="750"/>
      <c r="HJ1" s="750"/>
      <c r="HK1" s="750"/>
      <c r="HL1" s="750"/>
      <c r="HM1" s="750"/>
      <c r="HN1" s="750"/>
      <c r="HO1" s="750"/>
      <c r="HP1" s="750"/>
      <c r="HQ1" s="750"/>
      <c r="HR1" s="750"/>
      <c r="HS1" s="750"/>
      <c r="HT1" s="750"/>
      <c r="HU1" s="750"/>
      <c r="HV1" s="750"/>
      <c r="HW1" s="750"/>
      <c r="HX1" s="750"/>
      <c r="HY1" s="750"/>
      <c r="HZ1" s="750"/>
      <c r="IA1" s="750"/>
      <c r="IB1" s="750"/>
      <c r="IC1" s="750"/>
      <c r="ID1" s="750"/>
      <c r="IE1" s="750"/>
      <c r="IF1" s="750"/>
      <c r="IG1" s="750"/>
      <c r="IH1" s="750"/>
      <c r="II1" s="750"/>
      <c r="IJ1" s="750"/>
      <c r="IK1" s="750"/>
      <c r="IL1" s="750"/>
      <c r="IM1" s="750"/>
      <c r="IN1" s="750"/>
      <c r="IO1" s="750"/>
      <c r="IP1" s="750"/>
      <c r="IQ1" s="750"/>
      <c r="IR1" s="750"/>
      <c r="IS1" s="750"/>
      <c r="IT1" s="750"/>
      <c r="IU1" s="750"/>
      <c r="IV1" s="750"/>
      <c r="IW1" s="750"/>
      <c r="IX1" s="750"/>
      <c r="IY1" s="750"/>
      <c r="IZ1" s="750"/>
      <c r="JA1" s="750"/>
      <c r="JB1" s="750"/>
      <c r="JC1" s="750"/>
      <c r="JD1" s="750"/>
      <c r="JE1" s="750"/>
    </row>
    <row r="2" spans="1:265" s="751" customFormat="1" ht="22.8" customHeight="1">
      <c r="A2" s="758" t="s">
        <v>297</v>
      </c>
      <c r="B2" s="748"/>
      <c r="C2" s="748"/>
      <c r="D2" s="747"/>
      <c r="E2" s="749"/>
      <c r="F2" s="749"/>
      <c r="G2" s="749"/>
      <c r="H2" s="749"/>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750"/>
      <c r="BK2" s="750"/>
      <c r="BL2" s="750"/>
      <c r="BM2" s="750"/>
      <c r="BN2" s="750"/>
      <c r="BO2" s="750"/>
      <c r="BP2" s="750"/>
      <c r="BQ2" s="750"/>
      <c r="BR2" s="750"/>
      <c r="BS2" s="750"/>
      <c r="BT2" s="750"/>
      <c r="BU2" s="750"/>
      <c r="BV2" s="750"/>
      <c r="BW2" s="750"/>
      <c r="BX2" s="750"/>
      <c r="BY2" s="750"/>
      <c r="BZ2" s="750"/>
      <c r="CA2" s="750"/>
      <c r="CB2" s="750"/>
      <c r="CC2" s="750"/>
      <c r="CD2" s="750"/>
      <c r="CE2" s="750"/>
      <c r="CF2" s="750"/>
      <c r="CG2" s="750"/>
      <c r="CH2" s="750"/>
      <c r="CI2" s="750"/>
      <c r="CJ2" s="750"/>
      <c r="CK2" s="750"/>
      <c r="CL2" s="750"/>
      <c r="CM2" s="750"/>
      <c r="CN2" s="750"/>
      <c r="CO2" s="750"/>
      <c r="CP2" s="750"/>
      <c r="CQ2" s="750"/>
      <c r="CR2" s="750"/>
      <c r="CS2" s="750"/>
      <c r="CT2" s="750"/>
      <c r="CU2" s="750"/>
      <c r="CV2" s="750"/>
      <c r="CW2" s="750"/>
      <c r="CX2" s="750"/>
      <c r="CY2" s="750"/>
      <c r="CZ2" s="750"/>
      <c r="DA2" s="750"/>
      <c r="DB2" s="750"/>
      <c r="DC2" s="750"/>
      <c r="DD2" s="750"/>
      <c r="DE2" s="750"/>
      <c r="DF2" s="750"/>
      <c r="DG2" s="750"/>
      <c r="DH2" s="750"/>
      <c r="DI2" s="750"/>
      <c r="DJ2" s="750"/>
      <c r="DK2" s="750"/>
      <c r="DL2" s="750"/>
      <c r="DM2" s="750"/>
      <c r="DN2" s="750"/>
      <c r="DO2" s="750"/>
      <c r="DP2" s="750"/>
      <c r="DQ2" s="750"/>
      <c r="DR2" s="750"/>
      <c r="DS2" s="750"/>
      <c r="DT2" s="750"/>
      <c r="DU2" s="750"/>
      <c r="DV2" s="750"/>
      <c r="DW2" s="750"/>
      <c r="DX2" s="750"/>
      <c r="DY2" s="750"/>
      <c r="DZ2" s="750"/>
      <c r="EA2" s="750"/>
      <c r="EB2" s="750"/>
      <c r="EC2" s="750"/>
      <c r="ED2" s="750"/>
      <c r="EE2" s="750"/>
      <c r="EF2" s="750"/>
      <c r="EG2" s="750"/>
      <c r="EH2" s="750"/>
      <c r="EI2" s="750"/>
      <c r="EJ2" s="750"/>
      <c r="EK2" s="750"/>
      <c r="EL2" s="750"/>
      <c r="EM2" s="750"/>
      <c r="EN2" s="750"/>
      <c r="EO2" s="750"/>
      <c r="EP2" s="750"/>
      <c r="EQ2" s="750"/>
      <c r="ER2" s="750"/>
      <c r="ES2" s="750"/>
      <c r="ET2" s="750"/>
      <c r="EU2" s="750"/>
      <c r="EV2" s="750"/>
      <c r="EW2" s="750"/>
      <c r="EX2" s="750"/>
      <c r="EY2" s="750"/>
      <c r="EZ2" s="750"/>
      <c r="FA2" s="750"/>
      <c r="FB2" s="750"/>
      <c r="FC2" s="750"/>
      <c r="FD2" s="750"/>
      <c r="FE2" s="750"/>
      <c r="FF2" s="750"/>
      <c r="FG2" s="750"/>
      <c r="FH2" s="750"/>
      <c r="FI2" s="750"/>
      <c r="FJ2" s="750"/>
      <c r="FK2" s="750"/>
      <c r="FL2" s="750"/>
      <c r="FM2" s="750"/>
      <c r="FN2" s="750"/>
      <c r="FO2" s="750"/>
      <c r="FP2" s="750"/>
      <c r="FQ2" s="750"/>
      <c r="FR2" s="750"/>
      <c r="FS2" s="750"/>
      <c r="FT2" s="750"/>
      <c r="FU2" s="750"/>
      <c r="FV2" s="750"/>
      <c r="FW2" s="750"/>
      <c r="FX2" s="750"/>
      <c r="FY2" s="750"/>
      <c r="FZ2" s="750"/>
      <c r="GA2" s="750"/>
      <c r="GB2" s="750"/>
      <c r="GC2" s="750"/>
      <c r="GD2" s="750"/>
      <c r="GE2" s="750"/>
      <c r="GF2" s="750"/>
      <c r="GG2" s="750"/>
      <c r="GH2" s="750"/>
      <c r="GI2" s="750"/>
      <c r="GJ2" s="750"/>
      <c r="GK2" s="750"/>
      <c r="GL2" s="750"/>
      <c r="GM2" s="750"/>
      <c r="GN2" s="750"/>
      <c r="GO2" s="750"/>
      <c r="GP2" s="750"/>
      <c r="GQ2" s="750"/>
      <c r="GR2" s="750"/>
      <c r="GS2" s="750"/>
      <c r="GT2" s="750"/>
      <c r="GU2" s="750"/>
      <c r="GV2" s="750"/>
      <c r="GW2" s="750"/>
      <c r="GX2" s="750"/>
      <c r="GY2" s="750"/>
      <c r="GZ2" s="750"/>
      <c r="HA2" s="750"/>
      <c r="HB2" s="750"/>
      <c r="HC2" s="750"/>
      <c r="HD2" s="750"/>
      <c r="HE2" s="750"/>
      <c r="HF2" s="750"/>
      <c r="HG2" s="750"/>
      <c r="HH2" s="750"/>
      <c r="HI2" s="750"/>
      <c r="HJ2" s="750"/>
      <c r="HK2" s="750"/>
      <c r="HL2" s="750"/>
      <c r="HM2" s="750"/>
      <c r="HN2" s="750"/>
      <c r="HO2" s="750"/>
      <c r="HP2" s="750"/>
      <c r="HQ2" s="750"/>
      <c r="HR2" s="750"/>
      <c r="HS2" s="750"/>
      <c r="HT2" s="750"/>
      <c r="HU2" s="750"/>
      <c r="HV2" s="750"/>
      <c r="HW2" s="750"/>
      <c r="HX2" s="750"/>
      <c r="HY2" s="750"/>
      <c r="HZ2" s="750"/>
      <c r="IA2" s="750"/>
      <c r="IB2" s="750"/>
      <c r="IC2" s="750"/>
      <c r="ID2" s="750"/>
      <c r="IE2" s="750"/>
      <c r="IF2" s="750"/>
      <c r="IG2" s="750"/>
      <c r="IH2" s="750"/>
      <c r="II2" s="750"/>
      <c r="IJ2" s="750"/>
      <c r="IK2" s="750"/>
      <c r="IL2" s="750"/>
      <c r="IM2" s="750"/>
      <c r="IN2" s="750"/>
      <c r="IO2" s="750"/>
      <c r="IP2" s="750"/>
      <c r="IQ2" s="750"/>
      <c r="IR2" s="750"/>
      <c r="IS2" s="750"/>
      <c r="IT2" s="750"/>
      <c r="IU2" s="750"/>
      <c r="IV2" s="750"/>
      <c r="IW2" s="750"/>
      <c r="IX2" s="750"/>
      <c r="IY2" s="750"/>
      <c r="IZ2" s="750"/>
      <c r="JA2" s="750"/>
      <c r="JB2" s="750"/>
      <c r="JC2" s="750"/>
      <c r="JD2" s="750"/>
      <c r="JE2" s="750"/>
    </row>
    <row r="3" spans="1:265" s="751" customFormat="1" ht="22.8" customHeight="1" thickBot="1">
      <c r="A3" s="759" t="s">
        <v>66</v>
      </c>
      <c r="B3" s="747"/>
      <c r="C3" s="750"/>
      <c r="D3" s="750"/>
      <c r="E3" s="752"/>
      <c r="F3" s="752"/>
      <c r="G3" s="753">
        <v>0.04</v>
      </c>
      <c r="H3" s="754"/>
      <c r="I3" s="755"/>
      <c r="J3" s="755"/>
      <c r="K3" s="755"/>
      <c r="L3" s="755"/>
      <c r="M3" s="756" t="s">
        <v>163</v>
      </c>
      <c r="N3" s="756"/>
      <c r="O3" s="756"/>
      <c r="P3" s="756"/>
      <c r="Q3" s="756"/>
      <c r="IX3" s="750"/>
      <c r="IY3" s="757" t="s">
        <v>180</v>
      </c>
      <c r="IZ3" s="750"/>
      <c r="JA3" s="750"/>
      <c r="JB3" s="750"/>
      <c r="JC3" s="750"/>
      <c r="JD3" s="750"/>
      <c r="JE3" s="750"/>
    </row>
    <row r="4" spans="1:265" s="45" customFormat="1" ht="30" customHeight="1" thickBot="1">
      <c r="A4" s="440" t="s">
        <v>0</v>
      </c>
      <c r="B4" s="441" t="s">
        <v>2</v>
      </c>
      <c r="C4" s="441" t="s">
        <v>6</v>
      </c>
      <c r="D4" s="441" t="s">
        <v>9</v>
      </c>
      <c r="E4" s="442" t="s">
        <v>26</v>
      </c>
      <c r="F4" s="443" t="s">
        <v>3</v>
      </c>
      <c r="G4" s="442" t="s">
        <v>29</v>
      </c>
      <c r="H4" s="444" t="s">
        <v>4</v>
      </c>
      <c r="I4" s="350"/>
      <c r="J4" s="359"/>
      <c r="K4" s="359"/>
      <c r="L4" s="359"/>
      <c r="M4" s="349" t="s">
        <v>164</v>
      </c>
      <c r="N4" s="349" t="s">
        <v>165</v>
      </c>
      <c r="O4" s="349" t="s">
        <v>166</v>
      </c>
      <c r="P4" s="349" t="s">
        <v>167</v>
      </c>
      <c r="Q4" s="349" t="s">
        <v>168</v>
      </c>
      <c r="IX4" s="386"/>
      <c r="IY4" s="355" t="s">
        <v>94</v>
      </c>
      <c r="IZ4" s="356" t="s">
        <v>178</v>
      </c>
      <c r="JA4" s="356" t="s">
        <v>179</v>
      </c>
      <c r="JB4" s="356" t="s">
        <v>181</v>
      </c>
      <c r="JC4" s="356" t="s">
        <v>182</v>
      </c>
      <c r="JD4" s="356" t="s">
        <v>183</v>
      </c>
      <c r="JE4" s="386"/>
    </row>
    <row r="5" spans="1:265" s="174" customFormat="1" ht="19.95" customHeight="1">
      <c r="A5" s="426">
        <v>1</v>
      </c>
      <c r="B5" s="427" t="s">
        <v>94</v>
      </c>
      <c r="C5" s="428" t="s">
        <v>70</v>
      </c>
      <c r="D5" s="429" t="s">
        <v>64</v>
      </c>
      <c r="E5" s="430">
        <f>COUNTIFS(Table1351452010[[#All],[Sales]],"คุณนิมิต จุ้ยอยู่ทอง",Table1351452010[[#All],[แบ่งจ่าย/งวด
(ตามปีสัญญา)]],"&gt;0")</f>
        <v>4</v>
      </c>
      <c r="F5" s="431">
        <f ca="1">SUMIF(Table1351452010[[#All],[Sales]],"คุณนิมิต จุ้ยอยู่ทอง",Table1351452010[[#Headers],[Total
รายการเบิก
คอมขาย
(1)]])</f>
        <v>10356</v>
      </c>
      <c r="G5" s="432">
        <f ca="1">F5*G3</f>
        <v>414.24</v>
      </c>
      <c r="H5" s="433">
        <f ca="1">F5-G5</f>
        <v>9941.76</v>
      </c>
      <c r="I5" s="461" t="s">
        <v>185</v>
      </c>
      <c r="J5" s="360"/>
      <c r="K5" s="360"/>
      <c r="L5" s="360"/>
      <c r="M5" s="351">
        <f>IZ5+JA5+JB5+JC5+JD5</f>
        <v>1399.94</v>
      </c>
      <c r="N5" s="351">
        <f>1140.48/2</f>
        <v>570.24</v>
      </c>
      <c r="O5" s="353"/>
      <c r="P5" s="352"/>
      <c r="Q5" s="353"/>
      <c r="IX5" s="364"/>
      <c r="IY5" s="348" t="s">
        <v>70</v>
      </c>
      <c r="IZ5" s="348">
        <f>1140.48/2</f>
        <v>570.24</v>
      </c>
      <c r="JA5" s="348">
        <v>829.7</v>
      </c>
      <c r="JB5" s="348"/>
      <c r="JC5" s="348"/>
      <c r="JD5" s="348"/>
      <c r="JE5" s="364"/>
    </row>
    <row r="6" spans="1:265" s="174" customFormat="1" ht="19.95" customHeight="1">
      <c r="A6" s="434"/>
      <c r="B6" s="175"/>
      <c r="C6" s="328" t="s">
        <v>71</v>
      </c>
      <c r="D6" s="176"/>
      <c r="E6" s="435">
        <f>COUNTIFS(Table1351452010[[#All],[Sales]],"คุณธวัช มีแสง",Table1351452010[[#All],[แบ่งจ่าย/งวด
(ตามปีสัญญา)]],"&gt;0")</f>
        <v>0</v>
      </c>
      <c r="F6" s="436">
        <f ca="1">SUMIF(Table1351452010[[#All],[Sales]],"คุณธวัช มีแสง",Table1351452010[[#Headers],[Total
รายการเบิก
คอมขาย
(1)]])</f>
        <v>0</v>
      </c>
      <c r="G6" s="437">
        <f ca="1">F6*$G$3</f>
        <v>0</v>
      </c>
      <c r="H6" s="438">
        <f ca="1">F6-G6</f>
        <v>0</v>
      </c>
      <c r="I6" s="361"/>
      <c r="J6" s="361"/>
      <c r="K6" s="361"/>
      <c r="L6" s="361"/>
      <c r="M6" s="353"/>
      <c r="N6" s="354"/>
      <c r="O6" s="353"/>
      <c r="P6" s="353"/>
      <c r="Q6" s="353"/>
      <c r="IX6" s="364"/>
      <c r="IY6" s="348" t="s">
        <v>71</v>
      </c>
      <c r="IZ6" s="348"/>
      <c r="JA6" s="348"/>
      <c r="JB6" s="348"/>
      <c r="JC6" s="348"/>
      <c r="JD6" s="348"/>
      <c r="JE6" s="364"/>
    </row>
    <row r="7" spans="1:265" s="174" customFormat="1" ht="19.95" customHeight="1">
      <c r="A7" s="434"/>
      <c r="B7" s="175"/>
      <c r="C7" s="328" t="s">
        <v>73</v>
      </c>
      <c r="D7" s="176"/>
      <c r="E7" s="435">
        <f>COUNTIFS(Table1351452010[[#All],[Sales]],"คุณนิยนต์ อยู่ทะเล",Table1351452010[[#All],[แบ่งจ่าย/งวด
(ตามปีสัญญา)]],"&gt;0")</f>
        <v>3</v>
      </c>
      <c r="F7" s="436">
        <f ca="1">SUMIF(Table1351452010[[#All],[Sales]],"คุณนิยนต์ อยู่ทะเล",Table1351452010[[#Headers],[Total
รายการเบิก
คอมขาย
(1)]])</f>
        <v>35126.399999999994</v>
      </c>
      <c r="G7" s="437">
        <f t="shared" ref="G7:G14" ca="1" si="0">F7*$G$3</f>
        <v>1405.0559999999998</v>
      </c>
      <c r="H7" s="438">
        <f t="shared" ref="H7:H14" ca="1" si="1">F7-G7</f>
        <v>33721.343999999997</v>
      </c>
      <c r="I7" s="361"/>
      <c r="J7" s="361"/>
      <c r="K7" s="361"/>
      <c r="L7" s="361"/>
      <c r="M7" s="353"/>
      <c r="N7" s="354"/>
      <c r="O7" s="353"/>
      <c r="P7" s="353"/>
      <c r="Q7" s="353"/>
      <c r="IX7" s="364"/>
      <c r="IY7" s="348" t="s">
        <v>73</v>
      </c>
      <c r="IZ7" s="348"/>
      <c r="JA7" s="348"/>
      <c r="JB7" s="348"/>
      <c r="JC7" s="348"/>
      <c r="JD7" s="348"/>
      <c r="JE7" s="364"/>
    </row>
    <row r="8" spans="1:265" s="174" customFormat="1" ht="19.95" customHeight="1">
      <c r="A8" s="434"/>
      <c r="B8" s="175"/>
      <c r="C8" s="328" t="s">
        <v>74</v>
      </c>
      <c r="D8" s="176"/>
      <c r="E8" s="435">
        <f>COUNTIFS(Table1351452010[[#All],[Sales]],"คุณจินตนา อ้อยหวาน",Table1351452010[[#All],[แบ่งจ่าย/งวด
(ตามปีสัญญา)]],"&gt;0")</f>
        <v>5</v>
      </c>
      <c r="F8" s="436">
        <f ca="1">SUMIF(Table1351452010[[#All],[Sales]],"คุณจินตนา อ้อยหวาน",Table1351452010[[#Headers],[Total
รายการเบิก
คอมขาย
(1)]])</f>
        <v>78278.399999999994</v>
      </c>
      <c r="G8" s="437">
        <f t="shared" ca="1" si="0"/>
        <v>3131.136</v>
      </c>
      <c r="H8" s="438">
        <f t="shared" ca="1" si="1"/>
        <v>75147.263999999996</v>
      </c>
      <c r="I8" s="361"/>
      <c r="J8" s="361"/>
      <c r="K8" s="361"/>
      <c r="L8" s="361"/>
      <c r="M8" s="353"/>
      <c r="N8" s="354"/>
      <c r="O8" s="353"/>
      <c r="P8" s="353"/>
      <c r="Q8" s="353"/>
      <c r="IX8" s="364"/>
      <c r="IY8" s="348" t="s">
        <v>74</v>
      </c>
      <c r="IZ8" s="348"/>
      <c r="JA8" s="348"/>
      <c r="JB8" s="348"/>
      <c r="JC8" s="348"/>
      <c r="JD8" s="348"/>
      <c r="JE8" s="364"/>
    </row>
    <row r="9" spans="1:265" s="174" customFormat="1" ht="19.95" customHeight="1">
      <c r="A9" s="434"/>
      <c r="B9" s="175"/>
      <c r="C9" s="328" t="s">
        <v>75</v>
      </c>
      <c r="D9" s="176"/>
      <c r="E9" s="435">
        <f>COUNTIFS(Table1351452010[[#All],[Sales]],"คุณพัชรพรรณ พึ่งพา",Table1351452010[[#All],[แบ่งจ่าย/งวด
(ตามปีสัญญา)]],"&gt;0")</f>
        <v>6</v>
      </c>
      <c r="F9" s="436">
        <f ca="1">SUMIF(Table1351452010[[#All],[Sales]],"คุณพัชรพรรณ พึ่งพา",Table1351452010[[#Headers],[Total
รายการเบิก
คอมขาย
(1)]])</f>
        <v>304542</v>
      </c>
      <c r="G9" s="437">
        <f t="shared" ca="1" si="0"/>
        <v>12181.68</v>
      </c>
      <c r="H9" s="438">
        <f t="shared" ca="1" si="1"/>
        <v>292360.32000000001</v>
      </c>
      <c r="I9" s="361"/>
      <c r="J9" s="361"/>
      <c r="K9" s="361"/>
      <c r="L9" s="361"/>
      <c r="M9" s="353"/>
      <c r="N9" s="354"/>
      <c r="O9" s="353"/>
      <c r="P9" s="353"/>
      <c r="Q9" s="353"/>
      <c r="IX9" s="364"/>
      <c r="IY9" s="348" t="s">
        <v>75</v>
      </c>
      <c r="IZ9" s="348"/>
      <c r="JA9" s="348"/>
      <c r="JB9" s="348"/>
      <c r="JC9" s="348"/>
      <c r="JD9" s="348"/>
      <c r="JE9" s="364"/>
    </row>
    <row r="10" spans="1:265" s="174" customFormat="1" ht="19.95" customHeight="1">
      <c r="A10" s="434"/>
      <c r="B10" s="175"/>
      <c r="C10" s="328" t="s">
        <v>152</v>
      </c>
      <c r="D10" s="176"/>
      <c r="E10" s="435">
        <f>COUNTIFS(Table1351452010[[#All],[Sales]],"คุณนรินทร์ ปิงมูล",Table1351452010[[#All],[แบ่งจ่าย/งวด
(ตามปีสัญญา)]],"&gt;0")</f>
        <v>0</v>
      </c>
      <c r="F10" s="436">
        <f ca="1">SUMIF(Table1351452010[[#All],[Sales]],"คุณนรินทร์ ปิงมูล",Table1351452010[[#Headers],[Total
รายการเบิก
คอมขาย
(1)]])</f>
        <v>0</v>
      </c>
      <c r="G10" s="437">
        <f t="shared" ca="1" si="0"/>
        <v>0</v>
      </c>
      <c r="H10" s="438">
        <f t="shared" ca="1" si="1"/>
        <v>0</v>
      </c>
      <c r="I10" s="361"/>
      <c r="J10" s="361"/>
      <c r="K10" s="361"/>
      <c r="L10" s="361"/>
      <c r="M10" s="353"/>
      <c r="N10" s="354"/>
      <c r="O10" s="353"/>
      <c r="P10" s="353"/>
      <c r="Q10" s="353"/>
      <c r="IX10" s="364"/>
      <c r="IY10" s="348" t="s">
        <v>152</v>
      </c>
      <c r="IZ10" s="348"/>
      <c r="JA10" s="348"/>
      <c r="JB10" s="348"/>
      <c r="JC10" s="348"/>
      <c r="JD10" s="348"/>
      <c r="JE10" s="364"/>
    </row>
    <row r="11" spans="1:265" s="174" customFormat="1" ht="19.95" customHeight="1">
      <c r="A11" s="434"/>
      <c r="B11" s="175"/>
      <c r="C11" s="328" t="s">
        <v>130</v>
      </c>
      <c r="D11" s="176"/>
      <c r="E11" s="435">
        <f>COUNTIFS(Table1351452010[[#All],[Sales]],"คุณชนัฐฎา สนคะมี",Table1351452010[[#All],[แบ่งจ่าย/งวด
(ตามปีสัญญา)]],"&gt;0")</f>
        <v>3</v>
      </c>
      <c r="F11" s="436">
        <f ca="1">SUMIF(Table1351452010[[#All],[Sales]],"คุณชนัฐฎา สนคะมี",Table1351452010[[#Headers],[Total
รายการเบิก
คอมขาย
(1)]])</f>
        <v>26006.04</v>
      </c>
      <c r="G11" s="437">
        <f t="shared" ca="1" si="0"/>
        <v>1040.2416000000001</v>
      </c>
      <c r="H11" s="438">
        <f t="shared" ca="1" si="1"/>
        <v>24965.7984</v>
      </c>
      <c r="I11" s="361"/>
      <c r="J11" s="361"/>
      <c r="K11" s="361"/>
      <c r="L11" s="361"/>
      <c r="M11" s="353"/>
      <c r="N11" s="354"/>
      <c r="O11" s="353"/>
      <c r="P11" s="353"/>
      <c r="Q11" s="353"/>
      <c r="IX11" s="364"/>
      <c r="IY11" s="348" t="s">
        <v>130</v>
      </c>
      <c r="IZ11" s="348"/>
      <c r="JA11" s="348"/>
      <c r="JB11" s="348"/>
      <c r="JC11" s="348"/>
      <c r="JD11" s="348"/>
      <c r="JE11" s="364"/>
    </row>
    <row r="12" spans="1:265" s="174" customFormat="1" ht="19.95" customHeight="1">
      <c r="A12" s="434"/>
      <c r="B12" s="175"/>
      <c r="C12" s="328" t="s">
        <v>151</v>
      </c>
      <c r="D12" s="176"/>
      <c r="E12" s="435">
        <f>COUNTIFS(Table1351452010[[#All],[Sales]],"คุณจิรภิญญา เป็นปึก",Table1351452010[[#All],[แบ่งจ่าย/งวด
(ตามปีสัญญา)]],"&gt;0")</f>
        <v>2</v>
      </c>
      <c r="F12" s="436">
        <f ca="1">SUMIF(Table1351452010[[#All],[Sales]],"คุณจิรภิญญา เป็นปึก",Table1351452010[[#Headers],[Total
รายการเบิก
คอมขาย
(1)]])</f>
        <v>14839.655999999999</v>
      </c>
      <c r="G12" s="437">
        <f t="shared" ca="1" si="0"/>
        <v>593.58623999999998</v>
      </c>
      <c r="H12" s="438">
        <f t="shared" ca="1" si="1"/>
        <v>14246.069759999998</v>
      </c>
      <c r="I12" s="361"/>
      <c r="J12" s="361"/>
      <c r="K12" s="361"/>
      <c r="L12" s="361"/>
      <c r="M12" s="353"/>
      <c r="N12" s="354"/>
      <c r="O12" s="353"/>
      <c r="P12" s="353"/>
      <c r="Q12" s="353"/>
      <c r="IX12" s="364"/>
      <c r="IY12" s="348" t="s">
        <v>151</v>
      </c>
      <c r="IZ12" s="348"/>
      <c r="JA12" s="348"/>
      <c r="JB12" s="348"/>
      <c r="JC12" s="348"/>
      <c r="JD12" s="348"/>
      <c r="JE12" s="364"/>
    </row>
    <row r="13" spans="1:265" s="174" customFormat="1" ht="19.95" customHeight="1">
      <c r="A13" s="434"/>
      <c r="B13" s="175"/>
      <c r="C13" s="328" t="s">
        <v>72</v>
      </c>
      <c r="D13" s="176"/>
      <c r="E13" s="435">
        <f>COUNTIFS(Table1351452010[[#All],[Sales]],"คุณแดง มูลสองแคว",Table1351452010[[#All],[แบ่งจ่าย/งวด
(ตามปีสัญญา)]],"&gt;0")</f>
        <v>0</v>
      </c>
      <c r="F13" s="436">
        <f ca="1">SUMIF(Table1351452010[[#All],[Sales]],"คุณแดง มูลสองแคว",Table1351452010[[#Headers],[Total
รายการเบิก
คอมขาย
(1)]])</f>
        <v>0</v>
      </c>
      <c r="G13" s="437">
        <f t="shared" ca="1" si="0"/>
        <v>0</v>
      </c>
      <c r="H13" s="438">
        <f t="shared" ca="1" si="1"/>
        <v>0</v>
      </c>
      <c r="I13" s="361"/>
      <c r="J13" s="361"/>
      <c r="K13" s="361"/>
      <c r="L13" s="361"/>
      <c r="M13" s="353"/>
      <c r="N13" s="354"/>
      <c r="O13" s="353"/>
      <c r="P13" s="353"/>
      <c r="Q13" s="353"/>
      <c r="IX13" s="364"/>
      <c r="IY13" s="348" t="s">
        <v>72</v>
      </c>
      <c r="IZ13" s="348"/>
      <c r="JA13" s="348"/>
      <c r="JB13" s="348"/>
      <c r="JC13" s="348"/>
      <c r="JD13" s="348"/>
      <c r="JE13" s="364"/>
    </row>
    <row r="14" spans="1:265" s="174" customFormat="1" ht="19.95" customHeight="1" thickBot="1">
      <c r="A14" s="434"/>
      <c r="B14" s="175"/>
      <c r="C14" s="328" t="s">
        <v>67</v>
      </c>
      <c r="D14" s="176"/>
      <c r="E14" s="435">
        <f>COUNTIFS(Table1351452010[[#All],[Sales]],"คุณรุ่งอรุณ อินบุญรอด",Table1351452010[[#All],[แบ่งจ่าย/งวด
(ตามปีสัญญา)]],"&gt;0")</f>
        <v>5</v>
      </c>
      <c r="F14" s="436">
        <f ca="1">SUMIF(Table1351452010[[#All],[Sales]],"คุณรุ่งอรุณ อินบุญรอด",Table1351452010[[#Headers],[Total
รายการเบิก
คอมขาย
(1)]])</f>
        <v>16193.999999999998</v>
      </c>
      <c r="G14" s="437">
        <f t="shared" ca="1" si="0"/>
        <v>647.76</v>
      </c>
      <c r="H14" s="438">
        <f t="shared" ca="1" si="1"/>
        <v>15546.239999999998</v>
      </c>
      <c r="I14" s="361"/>
      <c r="J14" s="361"/>
      <c r="K14" s="361"/>
      <c r="L14" s="361"/>
      <c r="M14" s="353">
        <f>2280.96/2</f>
        <v>1140.48</v>
      </c>
      <c r="N14" s="353">
        <f>2280.96/2</f>
        <v>1140.48</v>
      </c>
      <c r="O14" s="353"/>
      <c r="P14" s="353"/>
      <c r="Q14" s="353"/>
      <c r="IX14" s="364"/>
      <c r="IY14" s="348" t="s">
        <v>67</v>
      </c>
      <c r="IZ14" s="348"/>
      <c r="JA14" s="348"/>
      <c r="JB14" s="348"/>
      <c r="JC14" s="348"/>
      <c r="JD14" s="348"/>
      <c r="JE14" s="364"/>
    </row>
    <row r="15" spans="1:265" s="177" customFormat="1" ht="19.95" customHeight="1">
      <c r="A15" s="445">
        <v>2</v>
      </c>
      <c r="B15" s="446" t="s">
        <v>141</v>
      </c>
      <c r="C15" s="428" t="s">
        <v>70</v>
      </c>
      <c r="D15" s="447" t="s">
        <v>146</v>
      </c>
      <c r="E15" s="448">
        <f>COUNTIFS(Table1351452010[[#All],[Sales]],"คุณนิมิต จุ้ยอยู่ทอง",Table1351452010[[#All],[ค่าเชื่อมสัญญาณ/
ค่าติดตั้ง/
ค่าขายอุปกรณ์]],"&gt;1")</f>
        <v>1</v>
      </c>
      <c r="F15" s="449">
        <f>SUMIF(Table1351452010[[#All],[Sales]],"คุณนิมิต จุ้ยอยู่ทอง",Table1351452010[[#All],[Total
ค่าเชื่มสัญญาณ/ค่าติดตั้ง/
ค่าขายอุปกรณ์
(2)]])</f>
        <v>1000</v>
      </c>
      <c r="G15" s="432">
        <v>0</v>
      </c>
      <c r="H15" s="433">
        <f>F15-G15</f>
        <v>1000</v>
      </c>
      <c r="I15" s="357" t="s">
        <v>184</v>
      </c>
      <c r="J15" s="362"/>
      <c r="K15" s="362"/>
      <c r="L15" s="362"/>
      <c r="M15" s="381"/>
      <c r="N15" s="364"/>
      <c r="O15" s="383"/>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4"/>
      <c r="FM15" s="364"/>
      <c r="FN15" s="364"/>
      <c r="FO15" s="364"/>
      <c r="FP15" s="364"/>
      <c r="FQ15" s="364"/>
      <c r="FR15" s="364"/>
      <c r="FS15" s="364"/>
      <c r="FT15" s="364"/>
      <c r="FU15" s="364"/>
      <c r="FV15" s="364"/>
      <c r="FW15" s="364"/>
      <c r="FX15" s="364"/>
      <c r="FY15" s="364"/>
      <c r="FZ15" s="364"/>
      <c r="GA15" s="364"/>
      <c r="GB15" s="364"/>
      <c r="GC15" s="364"/>
      <c r="GD15" s="364"/>
      <c r="GE15" s="364"/>
      <c r="GF15" s="364"/>
      <c r="GG15" s="364"/>
      <c r="GH15" s="364"/>
      <c r="GI15" s="364"/>
      <c r="GJ15" s="364"/>
      <c r="GK15" s="364"/>
      <c r="GL15" s="364"/>
      <c r="GM15" s="364"/>
      <c r="GN15" s="364"/>
      <c r="GO15" s="364"/>
      <c r="GP15" s="364"/>
      <c r="GQ15" s="364"/>
      <c r="GR15" s="364"/>
      <c r="GS15" s="364"/>
      <c r="GT15" s="364"/>
      <c r="GU15" s="364"/>
      <c r="GV15" s="364"/>
      <c r="GW15" s="364"/>
      <c r="GX15" s="364"/>
      <c r="GY15" s="364"/>
      <c r="GZ15" s="364"/>
      <c r="HA15" s="364"/>
      <c r="HB15" s="364"/>
      <c r="HC15" s="364"/>
      <c r="HD15" s="364"/>
      <c r="HE15" s="364"/>
      <c r="HF15" s="364"/>
      <c r="HG15" s="364"/>
      <c r="HH15" s="364"/>
      <c r="HI15" s="364"/>
      <c r="HJ15" s="364"/>
      <c r="HK15" s="364"/>
      <c r="HL15" s="364"/>
      <c r="HM15" s="364"/>
      <c r="HN15" s="364"/>
      <c r="HO15" s="364"/>
      <c r="HP15" s="364"/>
      <c r="HQ15" s="364"/>
      <c r="HR15" s="364"/>
      <c r="HS15" s="364"/>
      <c r="HT15" s="364"/>
      <c r="HU15" s="364"/>
      <c r="HV15" s="364"/>
      <c r="HW15" s="364"/>
      <c r="HX15" s="364"/>
      <c r="HY15" s="364"/>
      <c r="HZ15" s="364"/>
      <c r="IA15" s="364"/>
      <c r="IB15" s="364"/>
      <c r="IC15" s="364"/>
      <c r="ID15" s="364"/>
      <c r="IE15" s="364"/>
      <c r="IF15" s="364"/>
      <c r="IG15" s="364"/>
      <c r="IH15" s="364"/>
      <c r="II15" s="364"/>
      <c r="IJ15" s="364"/>
      <c r="IK15" s="364"/>
      <c r="IL15" s="364"/>
      <c r="IM15" s="364"/>
      <c r="IN15" s="364"/>
      <c r="IO15" s="364"/>
      <c r="IP15" s="384"/>
      <c r="IQ15" s="384"/>
      <c r="IR15" s="384"/>
      <c r="IS15" s="384"/>
      <c r="IT15" s="384"/>
      <c r="IU15" s="384"/>
      <c r="IV15" s="384"/>
      <c r="IW15" s="384"/>
      <c r="IX15" s="385"/>
      <c r="IY15" s="358" t="s">
        <v>186</v>
      </c>
      <c r="IZ15" s="358"/>
      <c r="JA15" s="358"/>
      <c r="JB15" s="358"/>
      <c r="JC15" s="358"/>
      <c r="JD15" s="358"/>
      <c r="JE15" s="384"/>
    </row>
    <row r="16" spans="1:265" s="179" customFormat="1" ht="19.95" customHeight="1">
      <c r="A16" s="450"/>
      <c r="B16" s="333" t="s">
        <v>142</v>
      </c>
      <c r="C16" s="328" t="s">
        <v>71</v>
      </c>
      <c r="D16" s="418" t="s">
        <v>147</v>
      </c>
      <c r="E16" s="451">
        <f>COUNTIFS(Table1351452010[[#All],[Sales]],"คุณธวัช มีแสง",Table1351452010[[#All],[ค่าเชื่อมสัญญาณ/
ค่าติดตั้ง/
ค่าขายอุปกรณ์]],"&gt;1")</f>
        <v>0</v>
      </c>
      <c r="F16" s="452">
        <f>SUMIF(Table1351452010[[#All],[Sales]],"คุณธวัช มีแสง",Table1351452010[[#All],[Total
ค่าเชื่มสัญญาณ/ค่าติดตั้ง/
ค่าขายอุปกรณ์
(2)]])</f>
        <v>0</v>
      </c>
      <c r="G16" s="437">
        <v>0</v>
      </c>
      <c r="H16" s="439">
        <f t="shared" ref="H16:H24" si="2">F16-G16</f>
        <v>0</v>
      </c>
      <c r="I16" s="362"/>
      <c r="J16" s="362"/>
      <c r="K16" s="362"/>
      <c r="L16" s="362"/>
      <c r="M16" s="381"/>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c r="BQ16" s="364"/>
      <c r="BR16" s="364"/>
      <c r="BS16" s="364"/>
      <c r="BT16" s="364"/>
      <c r="BU16" s="364"/>
      <c r="BV16" s="364"/>
      <c r="BW16" s="364"/>
      <c r="BX16" s="364"/>
      <c r="BY16" s="364"/>
      <c r="BZ16" s="364"/>
      <c r="CA16" s="364"/>
      <c r="CB16" s="364"/>
      <c r="CC16" s="364"/>
      <c r="CD16" s="364"/>
      <c r="CE16" s="364"/>
      <c r="CF16" s="364"/>
      <c r="CG16" s="364"/>
      <c r="CH16" s="364"/>
      <c r="CI16" s="364"/>
      <c r="CJ16" s="364"/>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4"/>
      <c r="DK16" s="364"/>
      <c r="DL16" s="364"/>
      <c r="DM16" s="364"/>
      <c r="DN16" s="364"/>
      <c r="DO16" s="364"/>
      <c r="DP16" s="364"/>
      <c r="DQ16" s="364"/>
      <c r="DR16" s="364"/>
      <c r="DS16" s="364"/>
      <c r="DT16" s="364"/>
      <c r="DU16" s="364"/>
      <c r="DV16" s="364"/>
      <c r="DW16" s="364"/>
      <c r="DX16" s="364"/>
      <c r="DY16" s="364"/>
      <c r="DZ16" s="364"/>
      <c r="EA16" s="364"/>
      <c r="EB16" s="364"/>
      <c r="EC16" s="364"/>
      <c r="ED16" s="364"/>
      <c r="EE16" s="364"/>
      <c r="EF16" s="364"/>
      <c r="EG16" s="364"/>
      <c r="EH16" s="364"/>
      <c r="EI16" s="364"/>
      <c r="EJ16" s="364"/>
      <c r="EK16" s="364"/>
      <c r="EL16" s="364"/>
      <c r="EM16" s="364"/>
      <c r="EN16" s="364"/>
      <c r="EO16" s="364"/>
      <c r="EP16" s="364"/>
      <c r="EQ16" s="364"/>
      <c r="ER16" s="364"/>
      <c r="ES16" s="364"/>
      <c r="ET16" s="364"/>
      <c r="EU16" s="364"/>
      <c r="EV16" s="364"/>
      <c r="EW16" s="364"/>
      <c r="EX16" s="364"/>
      <c r="EY16" s="364"/>
      <c r="EZ16" s="364"/>
      <c r="FA16" s="364"/>
      <c r="FB16" s="364"/>
      <c r="FC16" s="364"/>
      <c r="FD16" s="364"/>
      <c r="FE16" s="364"/>
      <c r="FF16" s="364"/>
      <c r="FG16" s="364"/>
      <c r="FH16" s="364"/>
      <c r="FI16" s="364"/>
      <c r="FJ16" s="364"/>
      <c r="FK16" s="364"/>
      <c r="FL16" s="364"/>
      <c r="FM16" s="364"/>
      <c r="FN16" s="364"/>
      <c r="FO16" s="364"/>
      <c r="FP16" s="364"/>
      <c r="FQ16" s="364"/>
      <c r="FR16" s="364"/>
      <c r="FS16" s="364"/>
      <c r="FT16" s="364"/>
      <c r="FU16" s="364"/>
      <c r="FV16" s="364"/>
      <c r="FW16" s="364"/>
      <c r="FX16" s="364"/>
      <c r="FY16" s="364"/>
      <c r="FZ16" s="364"/>
      <c r="GA16" s="364"/>
      <c r="GB16" s="364"/>
      <c r="GC16" s="364"/>
      <c r="GD16" s="364"/>
      <c r="GE16" s="364"/>
      <c r="GF16" s="364"/>
      <c r="GG16" s="364"/>
      <c r="GH16" s="364"/>
      <c r="GI16" s="364"/>
      <c r="GJ16" s="364"/>
      <c r="GK16" s="364"/>
      <c r="GL16" s="364"/>
      <c r="GM16" s="364"/>
      <c r="GN16" s="364"/>
      <c r="GO16" s="364"/>
      <c r="GP16" s="364"/>
      <c r="GQ16" s="364"/>
      <c r="GR16" s="364"/>
      <c r="GS16" s="364"/>
      <c r="GT16" s="364"/>
      <c r="GU16" s="364"/>
      <c r="GV16" s="364"/>
      <c r="GW16" s="364"/>
      <c r="GX16" s="364"/>
      <c r="GY16" s="364"/>
      <c r="GZ16" s="364"/>
      <c r="HA16" s="364"/>
      <c r="HB16" s="364"/>
      <c r="HC16" s="364"/>
      <c r="HD16" s="364"/>
      <c r="HE16" s="364"/>
      <c r="HF16" s="364"/>
      <c r="HG16" s="364"/>
      <c r="HH16" s="364"/>
      <c r="HI16" s="364"/>
      <c r="HJ16" s="364"/>
      <c r="HK16" s="364"/>
      <c r="HL16" s="364"/>
      <c r="HM16" s="364"/>
      <c r="HN16" s="364"/>
      <c r="HO16" s="364"/>
      <c r="HP16" s="364"/>
      <c r="HQ16" s="364"/>
      <c r="HR16" s="364"/>
      <c r="HS16" s="364"/>
      <c r="HT16" s="364"/>
      <c r="HU16" s="364"/>
      <c r="HV16" s="364"/>
      <c r="HW16" s="364"/>
      <c r="HX16" s="364"/>
      <c r="HY16" s="364"/>
      <c r="HZ16" s="364"/>
      <c r="IA16" s="364"/>
      <c r="IB16" s="364"/>
      <c r="IC16" s="364"/>
      <c r="ID16" s="364"/>
      <c r="IE16" s="364"/>
      <c r="IF16" s="364"/>
      <c r="IG16" s="364"/>
      <c r="IH16" s="364"/>
      <c r="II16" s="364"/>
      <c r="IJ16" s="364"/>
      <c r="IK16" s="364"/>
      <c r="IL16" s="364"/>
      <c r="IM16" s="364"/>
      <c r="IN16" s="364"/>
      <c r="IO16" s="364"/>
      <c r="IP16" s="385"/>
      <c r="IQ16" s="385"/>
      <c r="IR16" s="385"/>
      <c r="IS16" s="385"/>
      <c r="IT16" s="385"/>
      <c r="IU16" s="385"/>
      <c r="IV16" s="385"/>
      <c r="IW16" s="385"/>
      <c r="IX16" s="385"/>
      <c r="IY16" s="348" t="s">
        <v>70</v>
      </c>
      <c r="IZ16" s="348"/>
      <c r="JA16" s="348"/>
      <c r="JB16" s="348"/>
      <c r="JC16" s="348"/>
      <c r="JD16" s="348"/>
      <c r="JE16" s="385"/>
    </row>
    <row r="17" spans="1:265" s="179" customFormat="1" ht="19.95" customHeight="1">
      <c r="A17" s="450"/>
      <c r="B17" s="333" t="s">
        <v>143</v>
      </c>
      <c r="C17" s="328" t="s">
        <v>73</v>
      </c>
      <c r="D17" s="418" t="s">
        <v>148</v>
      </c>
      <c r="E17" s="451">
        <f>COUNTIFS(Table1351452010[[#All],[Sales]],"คุณนิยนต์ อยู่ทะเล",Table1351452010[[#All],[ค่าเชื่อมสัญญาณ/
ค่าติดตั้ง/
ค่าขายอุปกรณ์]],"&gt;1")</f>
        <v>2</v>
      </c>
      <c r="F17" s="452">
        <f>SUMIF(Table1351452010[[#All],[Sales]],"คุณนิยนต์ อยู่ทะเล",Table1351452010[[#All],[Total
ค่าเชื่มสัญญาณ/ค่าติดตั้ง/
ค่าขายอุปกรณ์
(2)]])</f>
        <v>6000</v>
      </c>
      <c r="G17" s="437">
        <v>0</v>
      </c>
      <c r="H17" s="439">
        <f t="shared" si="2"/>
        <v>6000</v>
      </c>
      <c r="I17" s="362"/>
      <c r="J17" s="362"/>
      <c r="K17" s="362"/>
      <c r="L17" s="362"/>
      <c r="M17" s="381"/>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c r="BM17" s="364"/>
      <c r="BN17" s="364"/>
      <c r="BO17" s="364"/>
      <c r="BP17" s="364"/>
      <c r="BQ17" s="364"/>
      <c r="BR17" s="364"/>
      <c r="BS17" s="364"/>
      <c r="BT17" s="364"/>
      <c r="BU17" s="364"/>
      <c r="BV17" s="364"/>
      <c r="BW17" s="364"/>
      <c r="BX17" s="364"/>
      <c r="BY17" s="364"/>
      <c r="BZ17" s="364"/>
      <c r="CA17" s="364"/>
      <c r="CB17" s="364"/>
      <c r="CC17" s="364"/>
      <c r="CD17" s="364"/>
      <c r="CE17" s="364"/>
      <c r="CF17" s="364"/>
      <c r="CG17" s="364"/>
      <c r="CH17" s="364"/>
      <c r="CI17" s="364"/>
      <c r="CJ17" s="364"/>
      <c r="CK17" s="364"/>
      <c r="CL17" s="364"/>
      <c r="CM17" s="364"/>
      <c r="CN17" s="364"/>
      <c r="CO17" s="364"/>
      <c r="CP17" s="364"/>
      <c r="CQ17" s="364"/>
      <c r="CR17" s="364"/>
      <c r="CS17" s="364"/>
      <c r="CT17" s="364"/>
      <c r="CU17" s="364"/>
      <c r="CV17" s="364"/>
      <c r="CW17" s="364"/>
      <c r="CX17" s="364"/>
      <c r="CY17" s="364"/>
      <c r="CZ17" s="364"/>
      <c r="DA17" s="364"/>
      <c r="DB17" s="364"/>
      <c r="DC17" s="364"/>
      <c r="DD17" s="364"/>
      <c r="DE17" s="364"/>
      <c r="DF17" s="364"/>
      <c r="DG17" s="364"/>
      <c r="DH17" s="364"/>
      <c r="DI17" s="364"/>
      <c r="DJ17" s="364"/>
      <c r="DK17" s="364"/>
      <c r="DL17" s="364"/>
      <c r="DM17" s="364"/>
      <c r="DN17" s="364"/>
      <c r="DO17" s="364"/>
      <c r="DP17" s="364"/>
      <c r="DQ17" s="364"/>
      <c r="DR17" s="364"/>
      <c r="DS17" s="364"/>
      <c r="DT17" s="364"/>
      <c r="DU17" s="364"/>
      <c r="DV17" s="364"/>
      <c r="DW17" s="364"/>
      <c r="DX17" s="364"/>
      <c r="DY17" s="364"/>
      <c r="DZ17" s="364"/>
      <c r="EA17" s="364"/>
      <c r="EB17" s="364"/>
      <c r="EC17" s="364"/>
      <c r="ED17" s="364"/>
      <c r="EE17" s="364"/>
      <c r="EF17" s="364"/>
      <c r="EG17" s="364"/>
      <c r="EH17" s="364"/>
      <c r="EI17" s="364"/>
      <c r="EJ17" s="364"/>
      <c r="EK17" s="364"/>
      <c r="EL17" s="364"/>
      <c r="EM17" s="364"/>
      <c r="EN17" s="364"/>
      <c r="EO17" s="364"/>
      <c r="EP17" s="364"/>
      <c r="EQ17" s="364"/>
      <c r="ER17" s="364"/>
      <c r="ES17" s="364"/>
      <c r="ET17" s="364"/>
      <c r="EU17" s="364"/>
      <c r="EV17" s="364"/>
      <c r="EW17" s="364"/>
      <c r="EX17" s="364"/>
      <c r="EY17" s="364"/>
      <c r="EZ17" s="364"/>
      <c r="FA17" s="364"/>
      <c r="FB17" s="364"/>
      <c r="FC17" s="364"/>
      <c r="FD17" s="364"/>
      <c r="FE17" s="364"/>
      <c r="FF17" s="364"/>
      <c r="FG17" s="364"/>
      <c r="FH17" s="364"/>
      <c r="FI17" s="364"/>
      <c r="FJ17" s="364"/>
      <c r="FK17" s="364"/>
      <c r="FL17" s="364"/>
      <c r="FM17" s="364"/>
      <c r="FN17" s="364"/>
      <c r="FO17" s="364"/>
      <c r="FP17" s="364"/>
      <c r="FQ17" s="364"/>
      <c r="FR17" s="364"/>
      <c r="FS17" s="364"/>
      <c r="FT17" s="364"/>
      <c r="FU17" s="364"/>
      <c r="FV17" s="364"/>
      <c r="FW17" s="364"/>
      <c r="FX17" s="364"/>
      <c r="FY17" s="364"/>
      <c r="FZ17" s="364"/>
      <c r="GA17" s="364"/>
      <c r="GB17" s="364"/>
      <c r="GC17" s="364"/>
      <c r="GD17" s="364"/>
      <c r="GE17" s="364"/>
      <c r="GF17" s="364"/>
      <c r="GG17" s="364"/>
      <c r="GH17" s="364"/>
      <c r="GI17" s="364"/>
      <c r="GJ17" s="364"/>
      <c r="GK17" s="364"/>
      <c r="GL17" s="364"/>
      <c r="GM17" s="364"/>
      <c r="GN17" s="364"/>
      <c r="GO17" s="364"/>
      <c r="GP17" s="364"/>
      <c r="GQ17" s="364"/>
      <c r="GR17" s="364"/>
      <c r="GS17" s="364"/>
      <c r="GT17" s="364"/>
      <c r="GU17" s="364"/>
      <c r="GV17" s="364"/>
      <c r="GW17" s="364"/>
      <c r="GX17" s="364"/>
      <c r="GY17" s="364"/>
      <c r="GZ17" s="364"/>
      <c r="HA17" s="364"/>
      <c r="HB17" s="364"/>
      <c r="HC17" s="364"/>
      <c r="HD17" s="364"/>
      <c r="HE17" s="364"/>
      <c r="HF17" s="364"/>
      <c r="HG17" s="364"/>
      <c r="HH17" s="364"/>
      <c r="HI17" s="364"/>
      <c r="HJ17" s="364"/>
      <c r="HK17" s="364"/>
      <c r="HL17" s="364"/>
      <c r="HM17" s="364"/>
      <c r="HN17" s="364"/>
      <c r="HO17" s="364"/>
      <c r="HP17" s="364"/>
      <c r="HQ17" s="364"/>
      <c r="HR17" s="364"/>
      <c r="HS17" s="364"/>
      <c r="HT17" s="364"/>
      <c r="HU17" s="364"/>
      <c r="HV17" s="364"/>
      <c r="HW17" s="364"/>
      <c r="HX17" s="364"/>
      <c r="HY17" s="364"/>
      <c r="HZ17" s="364"/>
      <c r="IA17" s="364"/>
      <c r="IB17" s="364"/>
      <c r="IC17" s="364"/>
      <c r="ID17" s="364"/>
      <c r="IE17" s="364"/>
      <c r="IF17" s="364"/>
      <c r="IG17" s="364"/>
      <c r="IH17" s="364"/>
      <c r="II17" s="364"/>
      <c r="IJ17" s="364"/>
      <c r="IK17" s="364"/>
      <c r="IL17" s="364"/>
      <c r="IM17" s="364"/>
      <c r="IN17" s="364"/>
      <c r="IO17" s="364"/>
      <c r="IP17" s="385"/>
      <c r="IQ17" s="385"/>
      <c r="IR17" s="385"/>
      <c r="IS17" s="385"/>
      <c r="IT17" s="385"/>
      <c r="IU17" s="385"/>
      <c r="IV17" s="385"/>
      <c r="IW17" s="385"/>
      <c r="IX17" s="385"/>
      <c r="IY17" s="348" t="s">
        <v>71</v>
      </c>
      <c r="IZ17" s="348"/>
      <c r="JA17" s="348"/>
      <c r="JB17" s="348"/>
      <c r="JC17" s="348"/>
      <c r="JD17" s="348"/>
      <c r="JE17" s="385"/>
    </row>
    <row r="18" spans="1:265" s="179" customFormat="1" ht="19.95" customHeight="1">
      <c r="A18" s="450"/>
      <c r="B18" s="333" t="s">
        <v>40</v>
      </c>
      <c r="C18" s="328" t="s">
        <v>74</v>
      </c>
      <c r="D18" s="178"/>
      <c r="E18" s="451">
        <f>COUNTIFS(Table1351452010[[#All],[Sales]],"คุณจินตนา อ้อยหวาน",Table1351452010[[#All],[ค่าเชื่อมสัญญาณ/
ค่าติดตั้ง/
ค่าขายอุปกรณ์]],"&gt;1")</f>
        <v>1</v>
      </c>
      <c r="F18" s="452">
        <f>SUMIF(Table1351452010[[#All],[Sales]],"คุณจินตนา อ้อยหวาน",Table1351452010[[#All],[Total
ค่าเชื่มสัญญาณ/ค่าติดตั้ง/
ค่าขายอุปกรณ์
(2)]])</f>
        <v>1500</v>
      </c>
      <c r="G18" s="437">
        <v>0</v>
      </c>
      <c r="H18" s="439">
        <f t="shared" si="2"/>
        <v>1500</v>
      </c>
      <c r="I18" s="362"/>
      <c r="J18" s="362"/>
      <c r="K18" s="362"/>
      <c r="L18" s="362"/>
      <c r="M18" s="381"/>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c r="BM18" s="364"/>
      <c r="BN18" s="364"/>
      <c r="BO18" s="364"/>
      <c r="BP18" s="364"/>
      <c r="BQ18" s="364"/>
      <c r="BR18" s="364"/>
      <c r="BS18" s="364"/>
      <c r="BT18" s="364"/>
      <c r="BU18" s="364"/>
      <c r="BV18" s="364"/>
      <c r="BW18" s="364"/>
      <c r="BX18" s="364"/>
      <c r="BY18" s="364"/>
      <c r="BZ18" s="364"/>
      <c r="CA18" s="364"/>
      <c r="CB18" s="364"/>
      <c r="CC18" s="364"/>
      <c r="CD18" s="364"/>
      <c r="CE18" s="364"/>
      <c r="CF18" s="364"/>
      <c r="CG18" s="364"/>
      <c r="CH18" s="364"/>
      <c r="CI18" s="364"/>
      <c r="CJ18" s="364"/>
      <c r="CK18" s="364"/>
      <c r="CL18" s="364"/>
      <c r="CM18" s="364"/>
      <c r="CN18" s="364"/>
      <c r="CO18" s="364"/>
      <c r="CP18" s="364"/>
      <c r="CQ18" s="364"/>
      <c r="CR18" s="364"/>
      <c r="CS18" s="364"/>
      <c r="CT18" s="364"/>
      <c r="CU18" s="364"/>
      <c r="CV18" s="364"/>
      <c r="CW18" s="364"/>
      <c r="CX18" s="364"/>
      <c r="CY18" s="364"/>
      <c r="CZ18" s="364"/>
      <c r="DA18" s="364"/>
      <c r="DB18" s="364"/>
      <c r="DC18" s="364"/>
      <c r="DD18" s="364"/>
      <c r="DE18" s="364"/>
      <c r="DF18" s="364"/>
      <c r="DG18" s="364"/>
      <c r="DH18" s="364"/>
      <c r="DI18" s="364"/>
      <c r="DJ18" s="364"/>
      <c r="DK18" s="364"/>
      <c r="DL18" s="364"/>
      <c r="DM18" s="364"/>
      <c r="DN18" s="364"/>
      <c r="DO18" s="364"/>
      <c r="DP18" s="364"/>
      <c r="DQ18" s="364"/>
      <c r="DR18" s="364"/>
      <c r="DS18" s="364"/>
      <c r="DT18" s="364"/>
      <c r="DU18" s="364"/>
      <c r="DV18" s="364"/>
      <c r="DW18" s="364"/>
      <c r="DX18" s="364"/>
      <c r="DY18" s="364"/>
      <c r="DZ18" s="364"/>
      <c r="EA18" s="364"/>
      <c r="EB18" s="364"/>
      <c r="EC18" s="364"/>
      <c r="ED18" s="364"/>
      <c r="EE18" s="364"/>
      <c r="EF18" s="364"/>
      <c r="EG18" s="364"/>
      <c r="EH18" s="364"/>
      <c r="EI18" s="364"/>
      <c r="EJ18" s="364"/>
      <c r="EK18" s="364"/>
      <c r="EL18" s="364"/>
      <c r="EM18" s="364"/>
      <c r="EN18" s="364"/>
      <c r="EO18" s="364"/>
      <c r="EP18" s="364"/>
      <c r="EQ18" s="364"/>
      <c r="ER18" s="364"/>
      <c r="ES18" s="364"/>
      <c r="ET18" s="364"/>
      <c r="EU18" s="364"/>
      <c r="EV18" s="364"/>
      <c r="EW18" s="364"/>
      <c r="EX18" s="364"/>
      <c r="EY18" s="364"/>
      <c r="EZ18" s="364"/>
      <c r="FA18" s="364"/>
      <c r="FB18" s="364"/>
      <c r="FC18" s="364"/>
      <c r="FD18" s="364"/>
      <c r="FE18" s="364"/>
      <c r="FF18" s="364"/>
      <c r="FG18" s="364"/>
      <c r="FH18" s="364"/>
      <c r="FI18" s="364"/>
      <c r="FJ18" s="364"/>
      <c r="FK18" s="364"/>
      <c r="FL18" s="364"/>
      <c r="FM18" s="364"/>
      <c r="FN18" s="364"/>
      <c r="FO18" s="364"/>
      <c r="FP18" s="364"/>
      <c r="FQ18" s="364"/>
      <c r="FR18" s="364"/>
      <c r="FS18" s="364"/>
      <c r="FT18" s="364"/>
      <c r="FU18" s="364"/>
      <c r="FV18" s="364"/>
      <c r="FW18" s="364"/>
      <c r="FX18" s="364"/>
      <c r="FY18" s="364"/>
      <c r="FZ18" s="364"/>
      <c r="GA18" s="364"/>
      <c r="GB18" s="364"/>
      <c r="GC18" s="364"/>
      <c r="GD18" s="364"/>
      <c r="GE18" s="364"/>
      <c r="GF18" s="364"/>
      <c r="GG18" s="364"/>
      <c r="GH18" s="364"/>
      <c r="GI18" s="364"/>
      <c r="GJ18" s="364"/>
      <c r="GK18" s="364"/>
      <c r="GL18" s="364"/>
      <c r="GM18" s="364"/>
      <c r="GN18" s="364"/>
      <c r="GO18" s="364"/>
      <c r="GP18" s="364"/>
      <c r="GQ18" s="364"/>
      <c r="GR18" s="364"/>
      <c r="GS18" s="364"/>
      <c r="GT18" s="364"/>
      <c r="GU18" s="364"/>
      <c r="GV18" s="364"/>
      <c r="GW18" s="364"/>
      <c r="GX18" s="364"/>
      <c r="GY18" s="364"/>
      <c r="GZ18" s="364"/>
      <c r="HA18" s="364"/>
      <c r="HB18" s="364"/>
      <c r="HC18" s="364"/>
      <c r="HD18" s="364"/>
      <c r="HE18" s="364"/>
      <c r="HF18" s="364"/>
      <c r="HG18" s="364"/>
      <c r="HH18" s="364"/>
      <c r="HI18" s="364"/>
      <c r="HJ18" s="364"/>
      <c r="HK18" s="364"/>
      <c r="HL18" s="364"/>
      <c r="HM18" s="364"/>
      <c r="HN18" s="364"/>
      <c r="HO18" s="364"/>
      <c r="HP18" s="364"/>
      <c r="HQ18" s="364"/>
      <c r="HR18" s="364"/>
      <c r="HS18" s="364"/>
      <c r="HT18" s="364"/>
      <c r="HU18" s="364"/>
      <c r="HV18" s="364"/>
      <c r="HW18" s="364"/>
      <c r="HX18" s="364"/>
      <c r="HY18" s="364"/>
      <c r="HZ18" s="364"/>
      <c r="IA18" s="364"/>
      <c r="IB18" s="364"/>
      <c r="IC18" s="364"/>
      <c r="ID18" s="364"/>
      <c r="IE18" s="364"/>
      <c r="IF18" s="364"/>
      <c r="IG18" s="364"/>
      <c r="IH18" s="364"/>
      <c r="II18" s="364"/>
      <c r="IJ18" s="364"/>
      <c r="IK18" s="364"/>
      <c r="IL18" s="364"/>
      <c r="IM18" s="364"/>
      <c r="IN18" s="364"/>
      <c r="IO18" s="364"/>
      <c r="IP18" s="385"/>
      <c r="IQ18" s="385"/>
      <c r="IR18" s="385"/>
      <c r="IS18" s="385"/>
      <c r="IT18" s="385"/>
      <c r="IU18" s="385"/>
      <c r="IV18" s="385"/>
      <c r="IW18" s="385"/>
      <c r="IX18" s="385"/>
      <c r="IY18" s="348" t="s">
        <v>73</v>
      </c>
      <c r="IZ18" s="348"/>
      <c r="JA18" s="348"/>
      <c r="JB18" s="348"/>
      <c r="JC18" s="348"/>
      <c r="JD18" s="348"/>
      <c r="JE18" s="385"/>
    </row>
    <row r="19" spans="1:265" s="179" customFormat="1" ht="19.95" customHeight="1">
      <c r="A19" s="450"/>
      <c r="B19" s="333"/>
      <c r="C19" s="328" t="s">
        <v>75</v>
      </c>
      <c r="D19" s="178"/>
      <c r="E19" s="451">
        <f>COUNTIFS(Table1351452010[[#All],[Sales]],"คุณพัชรพรรณ พึ่งพา",Table1351452010[[#All],[ค่าเชื่อมสัญญาณ/
ค่าติดตั้ง/
ค่าขายอุปกรณ์]],"&gt;1")</f>
        <v>5</v>
      </c>
      <c r="F19" s="452">
        <f>SUMIF(Table1351452010[[#All],[Sales]],"คุณพัชรพรรณ พึ่งพา",Table1351452010[[#All],[Total
ค่าเชื่มสัญญาณ/ค่าติดตั้ง/
ค่าขายอุปกรณ์
(2)]])</f>
        <v>7500</v>
      </c>
      <c r="G19" s="437">
        <v>0</v>
      </c>
      <c r="H19" s="439">
        <f t="shared" si="2"/>
        <v>7500</v>
      </c>
      <c r="I19" s="362"/>
      <c r="J19" s="362"/>
      <c r="K19" s="362"/>
      <c r="L19" s="362"/>
      <c r="M19" s="381"/>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c r="BM19" s="364"/>
      <c r="BN19" s="364"/>
      <c r="BO19" s="364"/>
      <c r="BP19" s="364"/>
      <c r="BQ19" s="364"/>
      <c r="BR19" s="364"/>
      <c r="BS19" s="364"/>
      <c r="BT19" s="364"/>
      <c r="BU19" s="364"/>
      <c r="BV19" s="364"/>
      <c r="BW19" s="364"/>
      <c r="BX19" s="364"/>
      <c r="BY19" s="364"/>
      <c r="BZ19" s="364"/>
      <c r="CA19" s="364"/>
      <c r="CB19" s="364"/>
      <c r="CC19" s="364"/>
      <c r="CD19" s="364"/>
      <c r="CE19" s="364"/>
      <c r="CF19" s="364"/>
      <c r="CG19" s="364"/>
      <c r="CH19" s="364"/>
      <c r="CI19" s="364"/>
      <c r="CJ19" s="364"/>
      <c r="CK19" s="364"/>
      <c r="CL19" s="364"/>
      <c r="CM19" s="364"/>
      <c r="CN19" s="364"/>
      <c r="CO19" s="364"/>
      <c r="CP19" s="364"/>
      <c r="CQ19" s="364"/>
      <c r="CR19" s="364"/>
      <c r="CS19" s="364"/>
      <c r="CT19" s="364"/>
      <c r="CU19" s="364"/>
      <c r="CV19" s="364"/>
      <c r="CW19" s="364"/>
      <c r="CX19" s="364"/>
      <c r="CY19" s="364"/>
      <c r="CZ19" s="364"/>
      <c r="DA19" s="364"/>
      <c r="DB19" s="364"/>
      <c r="DC19" s="364"/>
      <c r="DD19" s="364"/>
      <c r="DE19" s="364"/>
      <c r="DF19" s="364"/>
      <c r="DG19" s="364"/>
      <c r="DH19" s="364"/>
      <c r="DI19" s="364"/>
      <c r="DJ19" s="364"/>
      <c r="DK19" s="364"/>
      <c r="DL19" s="364"/>
      <c r="DM19" s="364"/>
      <c r="DN19" s="364"/>
      <c r="DO19" s="364"/>
      <c r="DP19" s="364"/>
      <c r="DQ19" s="364"/>
      <c r="DR19" s="364"/>
      <c r="DS19" s="364"/>
      <c r="DT19" s="364"/>
      <c r="DU19" s="364"/>
      <c r="DV19" s="364"/>
      <c r="DW19" s="364"/>
      <c r="DX19" s="364"/>
      <c r="DY19" s="364"/>
      <c r="DZ19" s="364"/>
      <c r="EA19" s="364"/>
      <c r="EB19" s="364"/>
      <c r="EC19" s="364"/>
      <c r="ED19" s="364"/>
      <c r="EE19" s="364"/>
      <c r="EF19" s="364"/>
      <c r="EG19" s="364"/>
      <c r="EH19" s="364"/>
      <c r="EI19" s="364"/>
      <c r="EJ19" s="364"/>
      <c r="EK19" s="364"/>
      <c r="EL19" s="364"/>
      <c r="EM19" s="364"/>
      <c r="EN19" s="364"/>
      <c r="EO19" s="364"/>
      <c r="EP19" s="364"/>
      <c r="EQ19" s="364"/>
      <c r="ER19" s="364"/>
      <c r="ES19" s="364"/>
      <c r="ET19" s="364"/>
      <c r="EU19" s="364"/>
      <c r="EV19" s="364"/>
      <c r="EW19" s="364"/>
      <c r="EX19" s="364"/>
      <c r="EY19" s="364"/>
      <c r="EZ19" s="364"/>
      <c r="FA19" s="364"/>
      <c r="FB19" s="364"/>
      <c r="FC19" s="364"/>
      <c r="FD19" s="364"/>
      <c r="FE19" s="364"/>
      <c r="FF19" s="364"/>
      <c r="FG19" s="364"/>
      <c r="FH19" s="364"/>
      <c r="FI19" s="364"/>
      <c r="FJ19" s="364"/>
      <c r="FK19" s="364"/>
      <c r="FL19" s="364"/>
      <c r="FM19" s="364"/>
      <c r="FN19" s="364"/>
      <c r="FO19" s="364"/>
      <c r="FP19" s="364"/>
      <c r="FQ19" s="364"/>
      <c r="FR19" s="364"/>
      <c r="FS19" s="364"/>
      <c r="FT19" s="364"/>
      <c r="FU19" s="364"/>
      <c r="FV19" s="364"/>
      <c r="FW19" s="364"/>
      <c r="FX19" s="364"/>
      <c r="FY19" s="364"/>
      <c r="FZ19" s="364"/>
      <c r="GA19" s="364"/>
      <c r="GB19" s="364"/>
      <c r="GC19" s="364"/>
      <c r="GD19" s="364"/>
      <c r="GE19" s="364"/>
      <c r="GF19" s="364"/>
      <c r="GG19" s="364"/>
      <c r="GH19" s="364"/>
      <c r="GI19" s="364"/>
      <c r="GJ19" s="364"/>
      <c r="GK19" s="364"/>
      <c r="GL19" s="364"/>
      <c r="GM19" s="364"/>
      <c r="GN19" s="364"/>
      <c r="GO19" s="364"/>
      <c r="GP19" s="364"/>
      <c r="GQ19" s="364"/>
      <c r="GR19" s="364"/>
      <c r="GS19" s="364"/>
      <c r="GT19" s="364"/>
      <c r="GU19" s="364"/>
      <c r="GV19" s="364"/>
      <c r="GW19" s="364"/>
      <c r="GX19" s="364"/>
      <c r="GY19" s="364"/>
      <c r="GZ19" s="364"/>
      <c r="HA19" s="364"/>
      <c r="HB19" s="364"/>
      <c r="HC19" s="364"/>
      <c r="HD19" s="364"/>
      <c r="HE19" s="364"/>
      <c r="HF19" s="364"/>
      <c r="HG19" s="364"/>
      <c r="HH19" s="364"/>
      <c r="HI19" s="364"/>
      <c r="HJ19" s="364"/>
      <c r="HK19" s="364"/>
      <c r="HL19" s="364"/>
      <c r="HM19" s="364"/>
      <c r="HN19" s="364"/>
      <c r="HO19" s="364"/>
      <c r="HP19" s="364"/>
      <c r="HQ19" s="364"/>
      <c r="HR19" s="364"/>
      <c r="HS19" s="364"/>
      <c r="HT19" s="364"/>
      <c r="HU19" s="364"/>
      <c r="HV19" s="364"/>
      <c r="HW19" s="364"/>
      <c r="HX19" s="364"/>
      <c r="HY19" s="364"/>
      <c r="HZ19" s="364"/>
      <c r="IA19" s="364"/>
      <c r="IB19" s="364"/>
      <c r="IC19" s="364"/>
      <c r="ID19" s="364"/>
      <c r="IE19" s="364"/>
      <c r="IF19" s="364"/>
      <c r="IG19" s="364"/>
      <c r="IH19" s="364"/>
      <c r="II19" s="364"/>
      <c r="IJ19" s="364"/>
      <c r="IK19" s="364"/>
      <c r="IL19" s="364"/>
      <c r="IM19" s="364"/>
      <c r="IN19" s="364"/>
      <c r="IO19" s="364"/>
      <c r="IP19" s="385"/>
      <c r="IQ19" s="385"/>
      <c r="IR19" s="385"/>
      <c r="IS19" s="385"/>
      <c r="IT19" s="385"/>
      <c r="IU19" s="385"/>
      <c r="IV19" s="385"/>
      <c r="IW19" s="385"/>
      <c r="IX19" s="385"/>
      <c r="IY19" s="348" t="s">
        <v>74</v>
      </c>
      <c r="IZ19" s="348"/>
      <c r="JA19" s="348"/>
      <c r="JB19" s="348"/>
      <c r="JC19" s="348"/>
      <c r="JD19" s="348"/>
      <c r="JE19" s="385"/>
    </row>
    <row r="20" spans="1:265" s="179" customFormat="1" ht="19.95" customHeight="1">
      <c r="A20" s="450"/>
      <c r="B20" s="333"/>
      <c r="C20" s="328" t="s">
        <v>152</v>
      </c>
      <c r="D20" s="178"/>
      <c r="E20" s="451">
        <f>COUNTIFS(Table1351452010[[#All],[Sales]],"คุณนรินทร์ ปิงมูล",Table1351452010[[#All],[ค่าเชื่อมสัญญาณ/
ค่าติดตั้ง/
ค่าขายอุปกรณ์]],"&gt;1")</f>
        <v>0</v>
      </c>
      <c r="F20" s="452">
        <f>SUMIF(Table1351452010[[#All],[Sales]],"คุณนรินทร์ ปิงมูล",Table1351452010[[#All],[Total
ค่าเชื่มสัญญาณ/ค่าติดตั้ง/
ค่าขายอุปกรณ์
(2)]])</f>
        <v>0</v>
      </c>
      <c r="G20" s="437">
        <v>0</v>
      </c>
      <c r="H20" s="439">
        <f t="shared" si="2"/>
        <v>0</v>
      </c>
      <c r="I20" s="362"/>
      <c r="J20" s="362"/>
      <c r="K20" s="362"/>
      <c r="L20" s="362"/>
      <c r="M20" s="381"/>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4"/>
      <c r="BP20" s="364"/>
      <c r="BQ20" s="364"/>
      <c r="BR20" s="364"/>
      <c r="BS20" s="364"/>
      <c r="BT20" s="364"/>
      <c r="BU20" s="364"/>
      <c r="BV20" s="364"/>
      <c r="BW20" s="364"/>
      <c r="BX20" s="364"/>
      <c r="BY20" s="364"/>
      <c r="BZ20" s="364"/>
      <c r="CA20" s="364"/>
      <c r="CB20" s="364"/>
      <c r="CC20" s="364"/>
      <c r="CD20" s="364"/>
      <c r="CE20" s="364"/>
      <c r="CF20" s="364"/>
      <c r="CG20" s="364"/>
      <c r="CH20" s="364"/>
      <c r="CI20" s="364"/>
      <c r="CJ20" s="364"/>
      <c r="CK20" s="364"/>
      <c r="CL20" s="364"/>
      <c r="CM20" s="364"/>
      <c r="CN20" s="364"/>
      <c r="CO20" s="364"/>
      <c r="CP20" s="364"/>
      <c r="CQ20" s="364"/>
      <c r="CR20" s="364"/>
      <c r="CS20" s="364"/>
      <c r="CT20" s="364"/>
      <c r="CU20" s="364"/>
      <c r="CV20" s="364"/>
      <c r="CW20" s="364"/>
      <c r="CX20" s="364"/>
      <c r="CY20" s="364"/>
      <c r="CZ20" s="364"/>
      <c r="DA20" s="364"/>
      <c r="DB20" s="364"/>
      <c r="DC20" s="364"/>
      <c r="DD20" s="364"/>
      <c r="DE20" s="364"/>
      <c r="DF20" s="364"/>
      <c r="DG20" s="364"/>
      <c r="DH20" s="364"/>
      <c r="DI20" s="364"/>
      <c r="DJ20" s="364"/>
      <c r="DK20" s="364"/>
      <c r="DL20" s="364"/>
      <c r="DM20" s="364"/>
      <c r="DN20" s="364"/>
      <c r="DO20" s="364"/>
      <c r="DP20" s="364"/>
      <c r="DQ20" s="364"/>
      <c r="DR20" s="364"/>
      <c r="DS20" s="364"/>
      <c r="DT20" s="364"/>
      <c r="DU20" s="364"/>
      <c r="DV20" s="364"/>
      <c r="DW20" s="364"/>
      <c r="DX20" s="364"/>
      <c r="DY20" s="364"/>
      <c r="DZ20" s="364"/>
      <c r="EA20" s="364"/>
      <c r="EB20" s="364"/>
      <c r="EC20" s="364"/>
      <c r="ED20" s="364"/>
      <c r="EE20" s="364"/>
      <c r="EF20" s="364"/>
      <c r="EG20" s="364"/>
      <c r="EH20" s="364"/>
      <c r="EI20" s="364"/>
      <c r="EJ20" s="364"/>
      <c r="EK20" s="364"/>
      <c r="EL20" s="364"/>
      <c r="EM20" s="364"/>
      <c r="EN20" s="364"/>
      <c r="EO20" s="364"/>
      <c r="EP20" s="364"/>
      <c r="EQ20" s="364"/>
      <c r="ER20" s="364"/>
      <c r="ES20" s="364"/>
      <c r="ET20" s="364"/>
      <c r="EU20" s="364"/>
      <c r="EV20" s="364"/>
      <c r="EW20" s="364"/>
      <c r="EX20" s="364"/>
      <c r="EY20" s="364"/>
      <c r="EZ20" s="364"/>
      <c r="FA20" s="364"/>
      <c r="FB20" s="364"/>
      <c r="FC20" s="364"/>
      <c r="FD20" s="364"/>
      <c r="FE20" s="364"/>
      <c r="FF20" s="364"/>
      <c r="FG20" s="364"/>
      <c r="FH20" s="364"/>
      <c r="FI20" s="364"/>
      <c r="FJ20" s="364"/>
      <c r="FK20" s="364"/>
      <c r="FL20" s="364"/>
      <c r="FM20" s="364"/>
      <c r="FN20" s="364"/>
      <c r="FO20" s="364"/>
      <c r="FP20" s="364"/>
      <c r="FQ20" s="364"/>
      <c r="FR20" s="364"/>
      <c r="FS20" s="364"/>
      <c r="FT20" s="364"/>
      <c r="FU20" s="364"/>
      <c r="FV20" s="364"/>
      <c r="FW20" s="364"/>
      <c r="FX20" s="364"/>
      <c r="FY20" s="364"/>
      <c r="FZ20" s="364"/>
      <c r="GA20" s="364"/>
      <c r="GB20" s="364"/>
      <c r="GC20" s="364"/>
      <c r="GD20" s="364"/>
      <c r="GE20" s="364"/>
      <c r="GF20" s="364"/>
      <c r="GG20" s="364"/>
      <c r="GH20" s="364"/>
      <c r="GI20" s="364"/>
      <c r="GJ20" s="364"/>
      <c r="GK20" s="364"/>
      <c r="GL20" s="364"/>
      <c r="GM20" s="364"/>
      <c r="GN20" s="364"/>
      <c r="GO20" s="364"/>
      <c r="GP20" s="364"/>
      <c r="GQ20" s="364"/>
      <c r="GR20" s="364"/>
      <c r="GS20" s="364"/>
      <c r="GT20" s="364"/>
      <c r="GU20" s="364"/>
      <c r="GV20" s="364"/>
      <c r="GW20" s="364"/>
      <c r="GX20" s="364"/>
      <c r="GY20" s="364"/>
      <c r="GZ20" s="364"/>
      <c r="HA20" s="364"/>
      <c r="HB20" s="364"/>
      <c r="HC20" s="364"/>
      <c r="HD20" s="364"/>
      <c r="HE20" s="364"/>
      <c r="HF20" s="364"/>
      <c r="HG20" s="364"/>
      <c r="HH20" s="364"/>
      <c r="HI20" s="364"/>
      <c r="HJ20" s="364"/>
      <c r="HK20" s="364"/>
      <c r="HL20" s="364"/>
      <c r="HM20" s="364"/>
      <c r="HN20" s="364"/>
      <c r="HO20" s="364"/>
      <c r="HP20" s="364"/>
      <c r="HQ20" s="364"/>
      <c r="HR20" s="364"/>
      <c r="HS20" s="364"/>
      <c r="HT20" s="364"/>
      <c r="HU20" s="364"/>
      <c r="HV20" s="364"/>
      <c r="HW20" s="364"/>
      <c r="HX20" s="364"/>
      <c r="HY20" s="364"/>
      <c r="HZ20" s="364"/>
      <c r="IA20" s="364"/>
      <c r="IB20" s="364"/>
      <c r="IC20" s="364"/>
      <c r="ID20" s="364"/>
      <c r="IE20" s="364"/>
      <c r="IF20" s="364"/>
      <c r="IG20" s="364"/>
      <c r="IH20" s="364"/>
      <c r="II20" s="364"/>
      <c r="IJ20" s="364"/>
      <c r="IK20" s="364"/>
      <c r="IL20" s="364"/>
      <c r="IM20" s="364"/>
      <c r="IN20" s="364"/>
      <c r="IO20" s="364"/>
      <c r="IP20" s="385"/>
      <c r="IQ20" s="385"/>
      <c r="IR20" s="385"/>
      <c r="IS20" s="385"/>
      <c r="IT20" s="385"/>
      <c r="IU20" s="385"/>
      <c r="IV20" s="385"/>
      <c r="IW20" s="385"/>
      <c r="IX20" s="385"/>
      <c r="IY20" s="348" t="s">
        <v>75</v>
      </c>
      <c r="IZ20" s="348"/>
      <c r="JA20" s="348"/>
      <c r="JB20" s="348"/>
      <c r="JC20" s="348"/>
      <c r="JD20" s="348"/>
      <c r="JE20" s="385"/>
    </row>
    <row r="21" spans="1:265" s="179" customFormat="1" ht="19.95" customHeight="1">
      <c r="A21" s="450"/>
      <c r="B21" s="333"/>
      <c r="C21" s="328" t="s">
        <v>130</v>
      </c>
      <c r="D21" s="178"/>
      <c r="E21" s="451">
        <f>COUNTIFS(Table1351452010[[#All],[Sales]],"คุณชนัฐฎา สนคะมี",Table1351452010[[#All],[ค่าเชื่อมสัญญาณ/
ค่าติดตั้ง/
ค่าขายอุปกรณ์]],"&gt;1")</f>
        <v>3</v>
      </c>
      <c r="F21" s="452">
        <f>SUMIF(Table1351452010[[#All],[Sales]],"คุณชนัฐฎา สนคะมี",Table1351452010[[#All],[Total
ค่าเชื่มสัญญาณ/ค่าติดตั้ง/
ค่าขายอุปกรณ์
(2)]])</f>
        <v>2560</v>
      </c>
      <c r="G21" s="437">
        <v>0</v>
      </c>
      <c r="H21" s="439">
        <f t="shared" si="2"/>
        <v>2560</v>
      </c>
      <c r="I21" s="362"/>
      <c r="J21" s="362"/>
      <c r="K21" s="362"/>
      <c r="L21" s="362"/>
      <c r="M21" s="381"/>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4"/>
      <c r="BP21" s="364"/>
      <c r="BQ21" s="364"/>
      <c r="BR21" s="364"/>
      <c r="BS21" s="364"/>
      <c r="BT21" s="364"/>
      <c r="BU21" s="364"/>
      <c r="BV21" s="364"/>
      <c r="BW21" s="364"/>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4"/>
      <c r="CX21" s="364"/>
      <c r="CY21" s="364"/>
      <c r="CZ21" s="364"/>
      <c r="DA21" s="364"/>
      <c r="DB21" s="364"/>
      <c r="DC21" s="364"/>
      <c r="DD21" s="364"/>
      <c r="DE21" s="364"/>
      <c r="DF21" s="364"/>
      <c r="DG21" s="364"/>
      <c r="DH21" s="364"/>
      <c r="DI21" s="364"/>
      <c r="DJ21" s="364"/>
      <c r="DK21" s="364"/>
      <c r="DL21" s="364"/>
      <c r="DM21" s="364"/>
      <c r="DN21" s="364"/>
      <c r="DO21" s="364"/>
      <c r="DP21" s="364"/>
      <c r="DQ21" s="364"/>
      <c r="DR21" s="364"/>
      <c r="DS21" s="364"/>
      <c r="DT21" s="364"/>
      <c r="DU21" s="364"/>
      <c r="DV21" s="364"/>
      <c r="DW21" s="364"/>
      <c r="DX21" s="364"/>
      <c r="DY21" s="364"/>
      <c r="DZ21" s="364"/>
      <c r="EA21" s="364"/>
      <c r="EB21" s="364"/>
      <c r="EC21" s="364"/>
      <c r="ED21" s="364"/>
      <c r="EE21" s="364"/>
      <c r="EF21" s="364"/>
      <c r="EG21" s="364"/>
      <c r="EH21" s="364"/>
      <c r="EI21" s="364"/>
      <c r="EJ21" s="364"/>
      <c r="EK21" s="364"/>
      <c r="EL21" s="364"/>
      <c r="EM21" s="364"/>
      <c r="EN21" s="364"/>
      <c r="EO21" s="364"/>
      <c r="EP21" s="364"/>
      <c r="EQ21" s="364"/>
      <c r="ER21" s="364"/>
      <c r="ES21" s="364"/>
      <c r="ET21" s="364"/>
      <c r="EU21" s="364"/>
      <c r="EV21" s="364"/>
      <c r="EW21" s="364"/>
      <c r="EX21" s="364"/>
      <c r="EY21" s="364"/>
      <c r="EZ21" s="364"/>
      <c r="FA21" s="364"/>
      <c r="FB21" s="364"/>
      <c r="FC21" s="364"/>
      <c r="FD21" s="364"/>
      <c r="FE21" s="364"/>
      <c r="FF21" s="364"/>
      <c r="FG21" s="364"/>
      <c r="FH21" s="364"/>
      <c r="FI21" s="364"/>
      <c r="FJ21" s="364"/>
      <c r="FK21" s="364"/>
      <c r="FL21" s="364"/>
      <c r="FM21" s="364"/>
      <c r="FN21" s="364"/>
      <c r="FO21" s="364"/>
      <c r="FP21" s="364"/>
      <c r="FQ21" s="364"/>
      <c r="FR21" s="364"/>
      <c r="FS21" s="364"/>
      <c r="FT21" s="364"/>
      <c r="FU21" s="364"/>
      <c r="FV21" s="364"/>
      <c r="FW21" s="364"/>
      <c r="FX21" s="364"/>
      <c r="FY21" s="364"/>
      <c r="FZ21" s="364"/>
      <c r="GA21" s="364"/>
      <c r="GB21" s="364"/>
      <c r="GC21" s="364"/>
      <c r="GD21" s="364"/>
      <c r="GE21" s="364"/>
      <c r="GF21" s="364"/>
      <c r="GG21" s="364"/>
      <c r="GH21" s="364"/>
      <c r="GI21" s="364"/>
      <c r="GJ21" s="364"/>
      <c r="GK21" s="364"/>
      <c r="GL21" s="364"/>
      <c r="GM21" s="364"/>
      <c r="GN21" s="364"/>
      <c r="GO21" s="364"/>
      <c r="GP21" s="364"/>
      <c r="GQ21" s="364"/>
      <c r="GR21" s="364"/>
      <c r="GS21" s="364"/>
      <c r="GT21" s="364"/>
      <c r="GU21" s="364"/>
      <c r="GV21" s="364"/>
      <c r="GW21" s="364"/>
      <c r="GX21" s="364"/>
      <c r="GY21" s="364"/>
      <c r="GZ21" s="364"/>
      <c r="HA21" s="364"/>
      <c r="HB21" s="364"/>
      <c r="HC21" s="364"/>
      <c r="HD21" s="364"/>
      <c r="HE21" s="364"/>
      <c r="HF21" s="364"/>
      <c r="HG21" s="364"/>
      <c r="HH21" s="364"/>
      <c r="HI21" s="364"/>
      <c r="HJ21" s="364"/>
      <c r="HK21" s="364"/>
      <c r="HL21" s="364"/>
      <c r="HM21" s="364"/>
      <c r="HN21" s="364"/>
      <c r="HO21" s="364"/>
      <c r="HP21" s="364"/>
      <c r="HQ21" s="364"/>
      <c r="HR21" s="364"/>
      <c r="HS21" s="364"/>
      <c r="HT21" s="364"/>
      <c r="HU21" s="364"/>
      <c r="HV21" s="364"/>
      <c r="HW21" s="364"/>
      <c r="HX21" s="364"/>
      <c r="HY21" s="364"/>
      <c r="HZ21" s="364"/>
      <c r="IA21" s="364"/>
      <c r="IB21" s="364"/>
      <c r="IC21" s="364"/>
      <c r="ID21" s="364"/>
      <c r="IE21" s="364"/>
      <c r="IF21" s="364"/>
      <c r="IG21" s="364"/>
      <c r="IH21" s="364"/>
      <c r="II21" s="364"/>
      <c r="IJ21" s="364"/>
      <c r="IK21" s="364"/>
      <c r="IL21" s="364"/>
      <c r="IM21" s="364"/>
      <c r="IN21" s="364"/>
      <c r="IO21" s="364"/>
      <c r="IP21" s="385"/>
      <c r="IQ21" s="385"/>
      <c r="IR21" s="385"/>
      <c r="IS21" s="385"/>
      <c r="IT21" s="385"/>
      <c r="IU21" s="385"/>
      <c r="IV21" s="385"/>
      <c r="IW21" s="385"/>
      <c r="IX21" s="385"/>
      <c r="IY21" s="348" t="s">
        <v>152</v>
      </c>
      <c r="IZ21" s="348"/>
      <c r="JA21" s="348"/>
      <c r="JB21" s="348"/>
      <c r="JC21" s="348"/>
      <c r="JD21" s="348"/>
      <c r="JE21" s="385"/>
    </row>
    <row r="22" spans="1:265" s="179" customFormat="1" ht="19.95" customHeight="1">
      <c r="A22" s="450"/>
      <c r="B22" s="333"/>
      <c r="C22" s="328" t="s">
        <v>151</v>
      </c>
      <c r="D22" s="178"/>
      <c r="E22" s="451">
        <f>COUNTIFS(Table1351452010[[#All],[Sales]],"คุณจิรภิญญา เป็นปึก",Table1351452010[[#All],[ค่าเชื่อมสัญญาณ/
ค่าติดตั้ง/
ค่าขายอุปกรณ์]],"&gt;1")</f>
        <v>1</v>
      </c>
      <c r="F22" s="452">
        <f>SUMIF(Table1351452010[[#All],[Sales]],"คุณจิรภิญญา เป็นปึก",Table1351452010[[#All],[Total
ค่าเชื่มสัญญาณ/ค่าติดตั้ง/
ค่าขายอุปกรณ์
(2)]])</f>
        <v>750</v>
      </c>
      <c r="G22" s="437">
        <v>0</v>
      </c>
      <c r="H22" s="439">
        <f t="shared" si="2"/>
        <v>750</v>
      </c>
      <c r="I22" s="362"/>
      <c r="J22" s="362"/>
      <c r="K22" s="362"/>
      <c r="L22" s="362"/>
      <c r="M22" s="381"/>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4"/>
      <c r="BP22" s="364"/>
      <c r="BQ22" s="364"/>
      <c r="BR22" s="364"/>
      <c r="BS22" s="364"/>
      <c r="BT22" s="364"/>
      <c r="BU22" s="364"/>
      <c r="BV22" s="364"/>
      <c r="BW22" s="364"/>
      <c r="BX22" s="364"/>
      <c r="BY22" s="364"/>
      <c r="BZ22" s="364"/>
      <c r="CA22" s="364"/>
      <c r="CB22" s="364"/>
      <c r="CC22" s="364"/>
      <c r="CD22" s="364"/>
      <c r="CE22" s="364"/>
      <c r="CF22" s="364"/>
      <c r="CG22" s="364"/>
      <c r="CH22" s="364"/>
      <c r="CI22" s="364"/>
      <c r="CJ22" s="364"/>
      <c r="CK22" s="364"/>
      <c r="CL22" s="364"/>
      <c r="CM22" s="364"/>
      <c r="CN22" s="364"/>
      <c r="CO22" s="364"/>
      <c r="CP22" s="364"/>
      <c r="CQ22" s="364"/>
      <c r="CR22" s="364"/>
      <c r="CS22" s="364"/>
      <c r="CT22" s="364"/>
      <c r="CU22" s="364"/>
      <c r="CV22" s="364"/>
      <c r="CW22" s="364"/>
      <c r="CX22" s="364"/>
      <c r="CY22" s="364"/>
      <c r="CZ22" s="364"/>
      <c r="DA22" s="364"/>
      <c r="DB22" s="364"/>
      <c r="DC22" s="364"/>
      <c r="DD22" s="364"/>
      <c r="DE22" s="364"/>
      <c r="DF22" s="364"/>
      <c r="DG22" s="364"/>
      <c r="DH22" s="364"/>
      <c r="DI22" s="364"/>
      <c r="DJ22" s="364"/>
      <c r="DK22" s="364"/>
      <c r="DL22" s="364"/>
      <c r="DM22" s="364"/>
      <c r="DN22" s="364"/>
      <c r="DO22" s="364"/>
      <c r="DP22" s="364"/>
      <c r="DQ22" s="364"/>
      <c r="DR22" s="364"/>
      <c r="DS22" s="364"/>
      <c r="DT22" s="364"/>
      <c r="DU22" s="364"/>
      <c r="DV22" s="364"/>
      <c r="DW22" s="364"/>
      <c r="DX22" s="364"/>
      <c r="DY22" s="364"/>
      <c r="DZ22" s="364"/>
      <c r="EA22" s="364"/>
      <c r="EB22" s="364"/>
      <c r="EC22" s="364"/>
      <c r="ED22" s="364"/>
      <c r="EE22" s="364"/>
      <c r="EF22" s="364"/>
      <c r="EG22" s="364"/>
      <c r="EH22" s="364"/>
      <c r="EI22" s="364"/>
      <c r="EJ22" s="364"/>
      <c r="EK22" s="364"/>
      <c r="EL22" s="364"/>
      <c r="EM22" s="364"/>
      <c r="EN22" s="364"/>
      <c r="EO22" s="364"/>
      <c r="EP22" s="364"/>
      <c r="EQ22" s="364"/>
      <c r="ER22" s="364"/>
      <c r="ES22" s="364"/>
      <c r="ET22" s="364"/>
      <c r="EU22" s="364"/>
      <c r="EV22" s="364"/>
      <c r="EW22" s="364"/>
      <c r="EX22" s="364"/>
      <c r="EY22" s="364"/>
      <c r="EZ22" s="364"/>
      <c r="FA22" s="364"/>
      <c r="FB22" s="364"/>
      <c r="FC22" s="364"/>
      <c r="FD22" s="364"/>
      <c r="FE22" s="364"/>
      <c r="FF22" s="364"/>
      <c r="FG22" s="364"/>
      <c r="FH22" s="364"/>
      <c r="FI22" s="364"/>
      <c r="FJ22" s="364"/>
      <c r="FK22" s="364"/>
      <c r="FL22" s="364"/>
      <c r="FM22" s="364"/>
      <c r="FN22" s="364"/>
      <c r="FO22" s="364"/>
      <c r="FP22" s="364"/>
      <c r="FQ22" s="364"/>
      <c r="FR22" s="364"/>
      <c r="FS22" s="364"/>
      <c r="FT22" s="364"/>
      <c r="FU22" s="364"/>
      <c r="FV22" s="364"/>
      <c r="FW22" s="364"/>
      <c r="FX22" s="364"/>
      <c r="FY22" s="364"/>
      <c r="FZ22" s="364"/>
      <c r="GA22" s="364"/>
      <c r="GB22" s="364"/>
      <c r="GC22" s="364"/>
      <c r="GD22" s="364"/>
      <c r="GE22" s="364"/>
      <c r="GF22" s="364"/>
      <c r="GG22" s="364"/>
      <c r="GH22" s="364"/>
      <c r="GI22" s="364"/>
      <c r="GJ22" s="364"/>
      <c r="GK22" s="364"/>
      <c r="GL22" s="364"/>
      <c r="GM22" s="364"/>
      <c r="GN22" s="364"/>
      <c r="GO22" s="364"/>
      <c r="GP22" s="364"/>
      <c r="GQ22" s="364"/>
      <c r="GR22" s="364"/>
      <c r="GS22" s="364"/>
      <c r="GT22" s="364"/>
      <c r="GU22" s="364"/>
      <c r="GV22" s="364"/>
      <c r="GW22" s="364"/>
      <c r="GX22" s="364"/>
      <c r="GY22" s="364"/>
      <c r="GZ22" s="364"/>
      <c r="HA22" s="364"/>
      <c r="HB22" s="364"/>
      <c r="HC22" s="364"/>
      <c r="HD22" s="364"/>
      <c r="HE22" s="364"/>
      <c r="HF22" s="364"/>
      <c r="HG22" s="364"/>
      <c r="HH22" s="364"/>
      <c r="HI22" s="364"/>
      <c r="HJ22" s="364"/>
      <c r="HK22" s="364"/>
      <c r="HL22" s="364"/>
      <c r="HM22" s="364"/>
      <c r="HN22" s="364"/>
      <c r="HO22" s="364"/>
      <c r="HP22" s="364"/>
      <c r="HQ22" s="364"/>
      <c r="HR22" s="364"/>
      <c r="HS22" s="364"/>
      <c r="HT22" s="364"/>
      <c r="HU22" s="364"/>
      <c r="HV22" s="364"/>
      <c r="HW22" s="364"/>
      <c r="HX22" s="364"/>
      <c r="HY22" s="364"/>
      <c r="HZ22" s="364"/>
      <c r="IA22" s="364"/>
      <c r="IB22" s="364"/>
      <c r="IC22" s="364"/>
      <c r="ID22" s="364"/>
      <c r="IE22" s="364"/>
      <c r="IF22" s="364"/>
      <c r="IG22" s="364"/>
      <c r="IH22" s="364"/>
      <c r="II22" s="364"/>
      <c r="IJ22" s="364"/>
      <c r="IK22" s="364"/>
      <c r="IL22" s="364"/>
      <c r="IM22" s="364"/>
      <c r="IN22" s="364"/>
      <c r="IO22" s="364"/>
      <c r="IP22" s="385"/>
      <c r="IQ22" s="385"/>
      <c r="IR22" s="385"/>
      <c r="IS22" s="385"/>
      <c r="IT22" s="385"/>
      <c r="IU22" s="385"/>
      <c r="IV22" s="385"/>
      <c r="IW22" s="385"/>
      <c r="IX22" s="385"/>
      <c r="IY22" s="348" t="s">
        <v>130</v>
      </c>
      <c r="IZ22" s="348"/>
      <c r="JA22" s="348"/>
      <c r="JB22" s="348"/>
      <c r="JC22" s="348"/>
      <c r="JD22" s="348"/>
      <c r="JE22" s="385"/>
    </row>
    <row r="23" spans="1:265" s="179" customFormat="1" ht="19.95" customHeight="1">
      <c r="A23" s="450"/>
      <c r="B23" s="333"/>
      <c r="C23" s="328" t="s">
        <v>72</v>
      </c>
      <c r="D23" s="178"/>
      <c r="E23" s="451">
        <f>COUNTIFS(Table1351452010[[#All],[Sales]],"คุณแดง มูลสองแคว",Table1351452010[[#All],[ค่าเชื่อมสัญญาณ/
ค่าติดตั้ง/
ค่าขายอุปกรณ์]],"&gt;1")</f>
        <v>0</v>
      </c>
      <c r="F23" s="452">
        <f>SUMIF(Table1351452010[[#All],[Sales]],"คุณแดง มูลสองแคว",Table1351452010[[#All],[Total
ค่าเชื่มสัญญาณ/ค่าติดตั้ง/
ค่าขายอุปกรณ์
(2)]])</f>
        <v>0</v>
      </c>
      <c r="G23" s="437">
        <v>0</v>
      </c>
      <c r="H23" s="439">
        <f t="shared" si="2"/>
        <v>0</v>
      </c>
      <c r="I23" s="362"/>
      <c r="J23" s="362"/>
      <c r="K23" s="362"/>
      <c r="L23" s="362"/>
      <c r="M23" s="381"/>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c r="BM23" s="364"/>
      <c r="BN23" s="364"/>
      <c r="BO23" s="364"/>
      <c r="BP23" s="364"/>
      <c r="BQ23" s="364"/>
      <c r="BR23" s="364"/>
      <c r="BS23" s="364"/>
      <c r="BT23" s="364"/>
      <c r="BU23" s="364"/>
      <c r="BV23" s="364"/>
      <c r="BW23" s="364"/>
      <c r="BX23" s="364"/>
      <c r="BY23" s="364"/>
      <c r="BZ23" s="364"/>
      <c r="CA23" s="364"/>
      <c r="CB23" s="364"/>
      <c r="CC23" s="364"/>
      <c r="CD23" s="364"/>
      <c r="CE23" s="364"/>
      <c r="CF23" s="364"/>
      <c r="CG23" s="364"/>
      <c r="CH23" s="364"/>
      <c r="CI23" s="364"/>
      <c r="CJ23" s="364"/>
      <c r="CK23" s="364"/>
      <c r="CL23" s="364"/>
      <c r="CM23" s="364"/>
      <c r="CN23" s="364"/>
      <c r="CO23" s="364"/>
      <c r="CP23" s="364"/>
      <c r="CQ23" s="364"/>
      <c r="CR23" s="364"/>
      <c r="CS23" s="364"/>
      <c r="CT23" s="364"/>
      <c r="CU23" s="364"/>
      <c r="CV23" s="364"/>
      <c r="CW23" s="364"/>
      <c r="CX23" s="364"/>
      <c r="CY23" s="364"/>
      <c r="CZ23" s="364"/>
      <c r="DA23" s="364"/>
      <c r="DB23" s="364"/>
      <c r="DC23" s="364"/>
      <c r="DD23" s="364"/>
      <c r="DE23" s="364"/>
      <c r="DF23" s="364"/>
      <c r="DG23" s="364"/>
      <c r="DH23" s="364"/>
      <c r="DI23" s="364"/>
      <c r="DJ23" s="364"/>
      <c r="DK23" s="364"/>
      <c r="DL23" s="364"/>
      <c r="DM23" s="364"/>
      <c r="DN23" s="364"/>
      <c r="DO23" s="364"/>
      <c r="DP23" s="364"/>
      <c r="DQ23" s="364"/>
      <c r="DR23" s="364"/>
      <c r="DS23" s="364"/>
      <c r="DT23" s="364"/>
      <c r="DU23" s="364"/>
      <c r="DV23" s="364"/>
      <c r="DW23" s="364"/>
      <c r="DX23" s="364"/>
      <c r="DY23" s="364"/>
      <c r="DZ23" s="364"/>
      <c r="EA23" s="364"/>
      <c r="EB23" s="364"/>
      <c r="EC23" s="364"/>
      <c r="ED23" s="364"/>
      <c r="EE23" s="364"/>
      <c r="EF23" s="364"/>
      <c r="EG23" s="364"/>
      <c r="EH23" s="364"/>
      <c r="EI23" s="364"/>
      <c r="EJ23" s="364"/>
      <c r="EK23" s="364"/>
      <c r="EL23" s="364"/>
      <c r="EM23" s="364"/>
      <c r="EN23" s="364"/>
      <c r="EO23" s="364"/>
      <c r="EP23" s="364"/>
      <c r="EQ23" s="364"/>
      <c r="ER23" s="364"/>
      <c r="ES23" s="364"/>
      <c r="ET23" s="364"/>
      <c r="EU23" s="364"/>
      <c r="EV23" s="364"/>
      <c r="EW23" s="364"/>
      <c r="EX23" s="364"/>
      <c r="EY23" s="364"/>
      <c r="EZ23" s="364"/>
      <c r="FA23" s="364"/>
      <c r="FB23" s="364"/>
      <c r="FC23" s="364"/>
      <c r="FD23" s="364"/>
      <c r="FE23" s="364"/>
      <c r="FF23" s="364"/>
      <c r="FG23" s="364"/>
      <c r="FH23" s="364"/>
      <c r="FI23" s="364"/>
      <c r="FJ23" s="364"/>
      <c r="FK23" s="364"/>
      <c r="FL23" s="364"/>
      <c r="FM23" s="364"/>
      <c r="FN23" s="364"/>
      <c r="FO23" s="364"/>
      <c r="FP23" s="364"/>
      <c r="FQ23" s="364"/>
      <c r="FR23" s="364"/>
      <c r="FS23" s="364"/>
      <c r="FT23" s="364"/>
      <c r="FU23" s="364"/>
      <c r="FV23" s="364"/>
      <c r="FW23" s="364"/>
      <c r="FX23" s="364"/>
      <c r="FY23" s="364"/>
      <c r="FZ23" s="364"/>
      <c r="GA23" s="364"/>
      <c r="GB23" s="364"/>
      <c r="GC23" s="364"/>
      <c r="GD23" s="364"/>
      <c r="GE23" s="364"/>
      <c r="GF23" s="364"/>
      <c r="GG23" s="364"/>
      <c r="GH23" s="364"/>
      <c r="GI23" s="364"/>
      <c r="GJ23" s="364"/>
      <c r="GK23" s="364"/>
      <c r="GL23" s="364"/>
      <c r="GM23" s="364"/>
      <c r="GN23" s="364"/>
      <c r="GO23" s="364"/>
      <c r="GP23" s="364"/>
      <c r="GQ23" s="364"/>
      <c r="GR23" s="364"/>
      <c r="GS23" s="364"/>
      <c r="GT23" s="364"/>
      <c r="GU23" s="364"/>
      <c r="GV23" s="364"/>
      <c r="GW23" s="364"/>
      <c r="GX23" s="364"/>
      <c r="GY23" s="364"/>
      <c r="GZ23" s="364"/>
      <c r="HA23" s="364"/>
      <c r="HB23" s="364"/>
      <c r="HC23" s="364"/>
      <c r="HD23" s="364"/>
      <c r="HE23" s="364"/>
      <c r="HF23" s="364"/>
      <c r="HG23" s="364"/>
      <c r="HH23" s="364"/>
      <c r="HI23" s="364"/>
      <c r="HJ23" s="364"/>
      <c r="HK23" s="364"/>
      <c r="HL23" s="364"/>
      <c r="HM23" s="364"/>
      <c r="HN23" s="364"/>
      <c r="HO23" s="364"/>
      <c r="HP23" s="364"/>
      <c r="HQ23" s="364"/>
      <c r="HR23" s="364"/>
      <c r="HS23" s="364"/>
      <c r="HT23" s="364"/>
      <c r="HU23" s="364"/>
      <c r="HV23" s="364"/>
      <c r="HW23" s="364"/>
      <c r="HX23" s="364"/>
      <c r="HY23" s="364"/>
      <c r="HZ23" s="364"/>
      <c r="IA23" s="364"/>
      <c r="IB23" s="364"/>
      <c r="IC23" s="364"/>
      <c r="ID23" s="364"/>
      <c r="IE23" s="364"/>
      <c r="IF23" s="364"/>
      <c r="IG23" s="364"/>
      <c r="IH23" s="364"/>
      <c r="II23" s="364"/>
      <c r="IJ23" s="364"/>
      <c r="IK23" s="364"/>
      <c r="IL23" s="364"/>
      <c r="IM23" s="364"/>
      <c r="IN23" s="364"/>
      <c r="IO23" s="364"/>
      <c r="IP23" s="385"/>
      <c r="IQ23" s="385"/>
      <c r="IR23" s="385"/>
      <c r="IS23" s="385"/>
      <c r="IT23" s="385"/>
      <c r="IU23" s="385"/>
      <c r="IV23" s="385"/>
      <c r="IW23" s="385"/>
      <c r="IX23" s="385"/>
      <c r="IY23" s="348" t="s">
        <v>151</v>
      </c>
      <c r="IZ23" s="348"/>
      <c r="JA23" s="348"/>
      <c r="JB23" s="348"/>
      <c r="JC23" s="348"/>
      <c r="JD23" s="348"/>
      <c r="JE23" s="385"/>
    </row>
    <row r="24" spans="1:265" s="179" customFormat="1" ht="19.95" customHeight="1" thickBot="1">
      <c r="A24" s="450"/>
      <c r="B24" s="334"/>
      <c r="C24" s="328" t="s">
        <v>67</v>
      </c>
      <c r="D24" s="178"/>
      <c r="E24" s="451">
        <f>COUNTIFS(Table1351452010[[#All],[Sales]],"คุณรุ่งอรุณ อินบุญรอด",Table1351452010[[#All],[ค่าเชื่อมสัญญาณ/
ค่าติดตั้ง/
ค่าขายอุปกรณ์]],"&gt;1")</f>
        <v>2</v>
      </c>
      <c r="F24" s="452">
        <f>SUMIF(Table1351452010[[#All],[Sales]],"คุณรุ่งอรุณ อินบุญรอด",Table1351452010[[#All],[Total
ค่าเชื่มสัญญาณ/ค่าติดตั้ง/
ค่าขายอุปกรณ์
(2)]])</f>
        <v>150</v>
      </c>
      <c r="G24" s="437">
        <v>0</v>
      </c>
      <c r="H24" s="439">
        <f t="shared" si="2"/>
        <v>150</v>
      </c>
      <c r="I24" s="362"/>
      <c r="J24" s="362"/>
      <c r="K24" s="362"/>
      <c r="L24" s="362"/>
      <c r="M24" s="381"/>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4"/>
      <c r="BP24" s="364"/>
      <c r="BQ24" s="364"/>
      <c r="BR24" s="364"/>
      <c r="BS24" s="364"/>
      <c r="BT24" s="364"/>
      <c r="BU24" s="364"/>
      <c r="BV24" s="364"/>
      <c r="BW24" s="364"/>
      <c r="BX24" s="364"/>
      <c r="BY24" s="364"/>
      <c r="BZ24" s="364"/>
      <c r="CA24" s="364"/>
      <c r="CB24" s="364"/>
      <c r="CC24" s="364"/>
      <c r="CD24" s="364"/>
      <c r="CE24" s="364"/>
      <c r="CF24" s="364"/>
      <c r="CG24" s="364"/>
      <c r="CH24" s="364"/>
      <c r="CI24" s="364"/>
      <c r="CJ24" s="364"/>
      <c r="CK24" s="364"/>
      <c r="CL24" s="364"/>
      <c r="CM24" s="364"/>
      <c r="CN24" s="364"/>
      <c r="CO24" s="364"/>
      <c r="CP24" s="364"/>
      <c r="CQ24" s="364"/>
      <c r="CR24" s="364"/>
      <c r="CS24" s="364"/>
      <c r="CT24" s="364"/>
      <c r="CU24" s="364"/>
      <c r="CV24" s="364"/>
      <c r="CW24" s="364"/>
      <c r="CX24" s="364"/>
      <c r="CY24" s="364"/>
      <c r="CZ24" s="364"/>
      <c r="DA24" s="364"/>
      <c r="DB24" s="364"/>
      <c r="DC24" s="364"/>
      <c r="DD24" s="364"/>
      <c r="DE24" s="364"/>
      <c r="DF24" s="364"/>
      <c r="DG24" s="364"/>
      <c r="DH24" s="364"/>
      <c r="DI24" s="364"/>
      <c r="DJ24" s="364"/>
      <c r="DK24" s="364"/>
      <c r="DL24" s="364"/>
      <c r="DM24" s="364"/>
      <c r="DN24" s="364"/>
      <c r="DO24" s="364"/>
      <c r="DP24" s="364"/>
      <c r="DQ24" s="364"/>
      <c r="DR24" s="364"/>
      <c r="DS24" s="364"/>
      <c r="DT24" s="364"/>
      <c r="DU24" s="364"/>
      <c r="DV24" s="364"/>
      <c r="DW24" s="364"/>
      <c r="DX24" s="364"/>
      <c r="DY24" s="364"/>
      <c r="DZ24" s="364"/>
      <c r="EA24" s="364"/>
      <c r="EB24" s="364"/>
      <c r="EC24" s="364"/>
      <c r="ED24" s="364"/>
      <c r="EE24" s="364"/>
      <c r="EF24" s="364"/>
      <c r="EG24" s="364"/>
      <c r="EH24" s="364"/>
      <c r="EI24" s="364"/>
      <c r="EJ24" s="364"/>
      <c r="EK24" s="364"/>
      <c r="EL24" s="364"/>
      <c r="EM24" s="364"/>
      <c r="EN24" s="364"/>
      <c r="EO24" s="364"/>
      <c r="EP24" s="364"/>
      <c r="EQ24" s="364"/>
      <c r="ER24" s="364"/>
      <c r="ES24" s="364"/>
      <c r="ET24" s="364"/>
      <c r="EU24" s="364"/>
      <c r="EV24" s="364"/>
      <c r="EW24" s="364"/>
      <c r="EX24" s="364"/>
      <c r="EY24" s="364"/>
      <c r="EZ24" s="364"/>
      <c r="FA24" s="364"/>
      <c r="FB24" s="364"/>
      <c r="FC24" s="364"/>
      <c r="FD24" s="364"/>
      <c r="FE24" s="364"/>
      <c r="FF24" s="364"/>
      <c r="FG24" s="364"/>
      <c r="FH24" s="364"/>
      <c r="FI24" s="364"/>
      <c r="FJ24" s="364"/>
      <c r="FK24" s="364"/>
      <c r="FL24" s="364"/>
      <c r="FM24" s="364"/>
      <c r="FN24" s="364"/>
      <c r="FO24" s="364"/>
      <c r="FP24" s="364"/>
      <c r="FQ24" s="364"/>
      <c r="FR24" s="364"/>
      <c r="FS24" s="364"/>
      <c r="FT24" s="364"/>
      <c r="FU24" s="364"/>
      <c r="FV24" s="364"/>
      <c r="FW24" s="364"/>
      <c r="FX24" s="364"/>
      <c r="FY24" s="364"/>
      <c r="FZ24" s="364"/>
      <c r="GA24" s="364"/>
      <c r="GB24" s="364"/>
      <c r="GC24" s="364"/>
      <c r="GD24" s="364"/>
      <c r="GE24" s="364"/>
      <c r="GF24" s="364"/>
      <c r="GG24" s="364"/>
      <c r="GH24" s="364"/>
      <c r="GI24" s="364"/>
      <c r="GJ24" s="364"/>
      <c r="GK24" s="364"/>
      <c r="GL24" s="364"/>
      <c r="GM24" s="364"/>
      <c r="GN24" s="364"/>
      <c r="GO24" s="364"/>
      <c r="GP24" s="364"/>
      <c r="GQ24" s="364"/>
      <c r="GR24" s="364"/>
      <c r="GS24" s="364"/>
      <c r="GT24" s="364"/>
      <c r="GU24" s="364"/>
      <c r="GV24" s="364"/>
      <c r="GW24" s="364"/>
      <c r="GX24" s="364"/>
      <c r="GY24" s="364"/>
      <c r="GZ24" s="364"/>
      <c r="HA24" s="364"/>
      <c r="HB24" s="364"/>
      <c r="HC24" s="364"/>
      <c r="HD24" s="364"/>
      <c r="HE24" s="364"/>
      <c r="HF24" s="364"/>
      <c r="HG24" s="364"/>
      <c r="HH24" s="364"/>
      <c r="HI24" s="364"/>
      <c r="HJ24" s="364"/>
      <c r="HK24" s="364"/>
      <c r="HL24" s="364"/>
      <c r="HM24" s="364"/>
      <c r="HN24" s="364"/>
      <c r="HO24" s="364"/>
      <c r="HP24" s="364"/>
      <c r="HQ24" s="364"/>
      <c r="HR24" s="364"/>
      <c r="HS24" s="364"/>
      <c r="HT24" s="364"/>
      <c r="HU24" s="364"/>
      <c r="HV24" s="364"/>
      <c r="HW24" s="364"/>
      <c r="HX24" s="364"/>
      <c r="HY24" s="364"/>
      <c r="HZ24" s="364"/>
      <c r="IA24" s="364"/>
      <c r="IB24" s="364"/>
      <c r="IC24" s="364"/>
      <c r="ID24" s="364"/>
      <c r="IE24" s="364"/>
      <c r="IF24" s="364"/>
      <c r="IG24" s="364"/>
      <c r="IH24" s="364"/>
      <c r="II24" s="364"/>
      <c r="IJ24" s="364"/>
      <c r="IK24" s="364"/>
      <c r="IL24" s="364"/>
      <c r="IM24" s="364"/>
      <c r="IN24" s="364"/>
      <c r="IO24" s="364"/>
      <c r="IP24" s="385"/>
      <c r="IQ24" s="385"/>
      <c r="IR24" s="385"/>
      <c r="IS24" s="385"/>
      <c r="IT24" s="385"/>
      <c r="IU24" s="385"/>
      <c r="IV24" s="385"/>
      <c r="IW24" s="385"/>
      <c r="IX24" s="385"/>
      <c r="IY24" s="348" t="s">
        <v>68</v>
      </c>
      <c r="IZ24" s="348"/>
      <c r="JA24" s="348"/>
      <c r="JB24" s="348"/>
      <c r="JC24" s="348"/>
      <c r="JD24" s="348"/>
      <c r="JE24" s="385"/>
    </row>
    <row r="25" spans="1:265" s="174" customFormat="1" ht="19.95" customHeight="1">
      <c r="A25" s="445">
        <v>3</v>
      </c>
      <c r="B25" s="453" t="s">
        <v>144</v>
      </c>
      <c r="C25" s="428" t="s">
        <v>70</v>
      </c>
      <c r="D25" s="454" t="s">
        <v>149</v>
      </c>
      <c r="E25" s="448">
        <f>COUNTIFS(Table1351452010[[#All],[Sales]],"คุณนิมิต จุ้ยอยู่ทอง",Table1351452010[[#All],[Total 
คอมฯค่าเชื่อมสัญญาณ
(3)]],"&gt;1")</f>
        <v>0</v>
      </c>
      <c r="F25" s="449">
        <f>SUMIF(Table1351452010[[#All],[Sales]],"คุณนิมิต จุ้ยอยู่ทอง",Table1351452010[[#All],[Total 
คอมฯค่าเชื่อมสัญญาณ
(3)]])</f>
        <v>0</v>
      </c>
      <c r="G25" s="432">
        <v>0</v>
      </c>
      <c r="H25" s="433">
        <f>F25-G25</f>
        <v>0</v>
      </c>
      <c r="I25" s="357" t="s">
        <v>184</v>
      </c>
      <c r="J25" s="362"/>
      <c r="K25" s="362"/>
      <c r="L25" s="362"/>
      <c r="M25" s="363"/>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4"/>
      <c r="CR25" s="364"/>
      <c r="CS25" s="364"/>
      <c r="CT25" s="364"/>
      <c r="CU25" s="364"/>
      <c r="CV25" s="364"/>
      <c r="CW25" s="364"/>
      <c r="CX25" s="364"/>
      <c r="CY25" s="364"/>
      <c r="CZ25" s="364"/>
      <c r="DA25" s="364"/>
      <c r="DB25" s="364"/>
      <c r="DC25" s="364"/>
      <c r="DD25" s="364"/>
      <c r="DE25" s="364"/>
      <c r="DF25" s="364"/>
      <c r="DG25" s="364"/>
      <c r="DH25" s="364"/>
      <c r="DI25" s="364"/>
      <c r="DJ25" s="364"/>
      <c r="DK25" s="364"/>
      <c r="DL25" s="364"/>
      <c r="DM25" s="364"/>
      <c r="DN25" s="364"/>
      <c r="DO25" s="364"/>
      <c r="DP25" s="364"/>
      <c r="DQ25" s="364"/>
      <c r="DR25" s="364"/>
      <c r="DS25" s="364"/>
      <c r="DT25" s="364"/>
      <c r="DU25" s="364"/>
      <c r="DV25" s="364"/>
      <c r="DW25" s="364"/>
      <c r="DX25" s="364"/>
      <c r="DY25" s="364"/>
      <c r="DZ25" s="364"/>
      <c r="EA25" s="364"/>
      <c r="EB25" s="364"/>
      <c r="EC25" s="364"/>
      <c r="ED25" s="364"/>
      <c r="EE25" s="364"/>
      <c r="EF25" s="364"/>
      <c r="EG25" s="364"/>
      <c r="EH25" s="364"/>
      <c r="EI25" s="364"/>
      <c r="EJ25" s="364"/>
      <c r="EK25" s="364"/>
      <c r="EL25" s="364"/>
      <c r="EM25" s="364"/>
      <c r="EN25" s="364"/>
      <c r="EO25" s="364"/>
      <c r="EP25" s="364"/>
      <c r="EQ25" s="364"/>
      <c r="ER25" s="364"/>
      <c r="ES25" s="364"/>
      <c r="ET25" s="364"/>
      <c r="EU25" s="364"/>
      <c r="EV25" s="364"/>
      <c r="EW25" s="364"/>
      <c r="EX25" s="364"/>
      <c r="EY25" s="364"/>
      <c r="EZ25" s="364"/>
      <c r="FA25" s="364"/>
      <c r="FB25" s="364"/>
      <c r="FC25" s="364"/>
      <c r="FD25" s="364"/>
      <c r="FE25" s="364"/>
      <c r="FF25" s="364"/>
      <c r="FG25" s="364"/>
      <c r="FH25" s="364"/>
      <c r="FI25" s="364"/>
      <c r="FJ25" s="364"/>
      <c r="FK25" s="364"/>
      <c r="FL25" s="364"/>
      <c r="FM25" s="364"/>
      <c r="FN25" s="364"/>
      <c r="FO25" s="364"/>
      <c r="FP25" s="364"/>
      <c r="FQ25" s="364"/>
      <c r="FR25" s="364"/>
      <c r="FS25" s="364"/>
      <c r="FT25" s="364"/>
      <c r="FU25" s="364"/>
      <c r="FV25" s="364"/>
      <c r="FW25" s="364"/>
      <c r="FX25" s="364"/>
      <c r="FY25" s="364"/>
      <c r="FZ25" s="364"/>
      <c r="GA25" s="364"/>
      <c r="GB25" s="364"/>
      <c r="GC25" s="364"/>
      <c r="GD25" s="364"/>
      <c r="GE25" s="364"/>
      <c r="GF25" s="364"/>
      <c r="GG25" s="364"/>
      <c r="GH25" s="364"/>
      <c r="GI25" s="364"/>
      <c r="GJ25" s="364"/>
      <c r="GK25" s="364"/>
      <c r="GL25" s="364"/>
      <c r="GM25" s="364"/>
      <c r="GN25" s="364"/>
      <c r="GO25" s="364"/>
      <c r="GP25" s="364"/>
      <c r="GQ25" s="364"/>
      <c r="GR25" s="364"/>
      <c r="GS25" s="364"/>
      <c r="GT25" s="364"/>
      <c r="GU25" s="364"/>
      <c r="GV25" s="364"/>
      <c r="GW25" s="364"/>
      <c r="GX25" s="364"/>
      <c r="GY25" s="364"/>
      <c r="GZ25" s="364"/>
      <c r="HA25" s="364"/>
      <c r="HB25" s="364"/>
      <c r="HC25" s="364"/>
      <c r="HD25" s="364"/>
      <c r="HE25" s="364"/>
      <c r="HF25" s="364"/>
      <c r="HG25" s="364"/>
      <c r="HH25" s="364"/>
      <c r="HI25" s="364"/>
      <c r="HJ25" s="364"/>
      <c r="HK25" s="364"/>
      <c r="HL25" s="364"/>
      <c r="HM25" s="364"/>
      <c r="HN25" s="364"/>
      <c r="HO25" s="364"/>
      <c r="HP25" s="364"/>
      <c r="HQ25" s="364"/>
      <c r="HR25" s="364"/>
      <c r="HS25" s="364"/>
      <c r="HT25" s="364"/>
      <c r="HU25" s="364"/>
      <c r="HV25" s="364"/>
      <c r="HW25" s="364"/>
      <c r="HX25" s="364"/>
      <c r="HY25" s="364"/>
      <c r="HZ25" s="364"/>
      <c r="IA25" s="364"/>
      <c r="IB25" s="364"/>
      <c r="IC25" s="364"/>
      <c r="ID25" s="364"/>
      <c r="IE25" s="364"/>
      <c r="IF25" s="364"/>
      <c r="IG25" s="364"/>
      <c r="IH25" s="364"/>
      <c r="II25" s="364"/>
      <c r="IJ25" s="364"/>
      <c r="IK25" s="364"/>
      <c r="IL25" s="364"/>
      <c r="IM25" s="364"/>
      <c r="IN25" s="364"/>
      <c r="IO25" s="364"/>
      <c r="IP25" s="364"/>
      <c r="IQ25" s="364"/>
      <c r="IR25" s="364"/>
      <c r="IS25" s="364"/>
      <c r="IT25" s="364"/>
      <c r="IU25" s="364"/>
      <c r="IV25" s="364"/>
      <c r="IW25" s="364"/>
      <c r="IX25" s="364"/>
      <c r="IY25" s="348" t="s">
        <v>21</v>
      </c>
      <c r="IZ25" s="348"/>
      <c r="JA25" s="348"/>
      <c r="JB25" s="348"/>
      <c r="JC25" s="348"/>
      <c r="JD25" s="348"/>
      <c r="JE25" s="364"/>
    </row>
    <row r="26" spans="1:265" s="174" customFormat="1" ht="19.95" customHeight="1">
      <c r="A26" s="450"/>
      <c r="B26" s="342" t="s">
        <v>145</v>
      </c>
      <c r="C26" s="328" t="s">
        <v>71</v>
      </c>
      <c r="D26" s="419" t="s">
        <v>150</v>
      </c>
      <c r="E26" s="451">
        <f>COUNTIFS(Table1351452010[[#All],[Sales]],"คุณธวัช มีแสง",Table1351452010[[#All],[Total 
คอมฯค่าเชื่อมสัญญาณ
(3)]],"&gt;1")</f>
        <v>0</v>
      </c>
      <c r="F26" s="452">
        <f>SUMIF(Table1351452010[[#All],[Sales]],"คุณธวัช มีแสง",Table1351452010[[#All],[Total 
คอมฯค่าเชื่อมสัญญาณ
(3)]])</f>
        <v>0</v>
      </c>
      <c r="G26" s="437">
        <v>0</v>
      </c>
      <c r="H26" s="439">
        <f>F26-G26</f>
        <v>0</v>
      </c>
      <c r="I26" s="362"/>
      <c r="J26" s="362"/>
      <c r="K26" s="362"/>
      <c r="L26" s="362"/>
      <c r="M26" s="363"/>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c r="BM26" s="364"/>
      <c r="BN26" s="364"/>
      <c r="BO26" s="364"/>
      <c r="BP26" s="364"/>
      <c r="BQ26" s="364"/>
      <c r="BR26" s="364"/>
      <c r="BS26" s="364"/>
      <c r="BT26" s="364"/>
      <c r="BU26" s="364"/>
      <c r="BV26" s="364"/>
      <c r="BW26" s="364"/>
      <c r="BX26" s="364"/>
      <c r="BY26" s="364"/>
      <c r="BZ26" s="364"/>
      <c r="CA26" s="364"/>
      <c r="CB26" s="364"/>
      <c r="CC26" s="364"/>
      <c r="CD26" s="364"/>
      <c r="CE26" s="364"/>
      <c r="CF26" s="364"/>
      <c r="CG26" s="364"/>
      <c r="CH26" s="364"/>
      <c r="CI26" s="364"/>
      <c r="CJ26" s="364"/>
      <c r="CK26" s="364"/>
      <c r="CL26" s="364"/>
      <c r="CM26" s="364"/>
      <c r="CN26" s="364"/>
      <c r="CO26" s="364"/>
      <c r="CP26" s="364"/>
      <c r="CQ26" s="364"/>
      <c r="CR26" s="364"/>
      <c r="CS26" s="364"/>
      <c r="CT26" s="364"/>
      <c r="CU26" s="364"/>
      <c r="CV26" s="364"/>
      <c r="CW26" s="364"/>
      <c r="CX26" s="364"/>
      <c r="CY26" s="364"/>
      <c r="CZ26" s="364"/>
      <c r="DA26" s="364"/>
      <c r="DB26" s="364"/>
      <c r="DC26" s="364"/>
      <c r="DD26" s="364"/>
      <c r="DE26" s="364"/>
      <c r="DF26" s="364"/>
      <c r="DG26" s="364"/>
      <c r="DH26" s="364"/>
      <c r="DI26" s="364"/>
      <c r="DJ26" s="364"/>
      <c r="DK26" s="364"/>
      <c r="DL26" s="364"/>
      <c r="DM26" s="364"/>
      <c r="DN26" s="364"/>
      <c r="DO26" s="364"/>
      <c r="DP26" s="364"/>
      <c r="DQ26" s="364"/>
      <c r="DR26" s="364"/>
      <c r="DS26" s="364"/>
      <c r="DT26" s="364"/>
      <c r="DU26" s="364"/>
      <c r="DV26" s="364"/>
      <c r="DW26" s="364"/>
      <c r="DX26" s="364"/>
      <c r="DY26" s="364"/>
      <c r="DZ26" s="364"/>
      <c r="EA26" s="364"/>
      <c r="EB26" s="364"/>
      <c r="EC26" s="364"/>
      <c r="ED26" s="364"/>
      <c r="EE26" s="364"/>
      <c r="EF26" s="364"/>
      <c r="EG26" s="364"/>
      <c r="EH26" s="364"/>
      <c r="EI26" s="364"/>
      <c r="EJ26" s="364"/>
      <c r="EK26" s="364"/>
      <c r="EL26" s="364"/>
      <c r="EM26" s="364"/>
      <c r="EN26" s="364"/>
      <c r="EO26" s="364"/>
      <c r="EP26" s="364"/>
      <c r="EQ26" s="364"/>
      <c r="ER26" s="364"/>
      <c r="ES26" s="364"/>
      <c r="ET26" s="364"/>
      <c r="EU26" s="364"/>
      <c r="EV26" s="364"/>
      <c r="EW26" s="364"/>
      <c r="EX26" s="364"/>
      <c r="EY26" s="364"/>
      <c r="EZ26" s="364"/>
      <c r="FA26" s="364"/>
      <c r="FB26" s="364"/>
      <c r="FC26" s="364"/>
      <c r="FD26" s="364"/>
      <c r="FE26" s="364"/>
      <c r="FF26" s="364"/>
      <c r="FG26" s="364"/>
      <c r="FH26" s="364"/>
      <c r="FI26" s="364"/>
      <c r="FJ26" s="364"/>
      <c r="FK26" s="364"/>
      <c r="FL26" s="364"/>
      <c r="FM26" s="364"/>
      <c r="FN26" s="364"/>
      <c r="FO26" s="364"/>
      <c r="FP26" s="364"/>
      <c r="FQ26" s="364"/>
      <c r="FR26" s="364"/>
      <c r="FS26" s="364"/>
      <c r="FT26" s="364"/>
      <c r="FU26" s="364"/>
      <c r="FV26" s="364"/>
      <c r="FW26" s="364"/>
      <c r="FX26" s="364"/>
      <c r="FY26" s="364"/>
      <c r="FZ26" s="364"/>
      <c r="GA26" s="364"/>
      <c r="GB26" s="364"/>
      <c r="GC26" s="364"/>
      <c r="GD26" s="364"/>
      <c r="GE26" s="364"/>
      <c r="GF26" s="364"/>
      <c r="GG26" s="364"/>
      <c r="GH26" s="364"/>
      <c r="GI26" s="364"/>
      <c r="GJ26" s="364"/>
      <c r="GK26" s="364"/>
      <c r="GL26" s="364"/>
      <c r="GM26" s="364"/>
      <c r="GN26" s="364"/>
      <c r="GO26" s="364"/>
      <c r="GP26" s="364"/>
      <c r="GQ26" s="364"/>
      <c r="GR26" s="364"/>
      <c r="GS26" s="364"/>
      <c r="GT26" s="364"/>
      <c r="GU26" s="364"/>
      <c r="GV26" s="364"/>
      <c r="GW26" s="364"/>
      <c r="GX26" s="364"/>
      <c r="GY26" s="364"/>
      <c r="GZ26" s="364"/>
      <c r="HA26" s="364"/>
      <c r="HB26" s="364"/>
      <c r="HC26" s="364"/>
      <c r="HD26" s="364"/>
      <c r="HE26" s="364"/>
      <c r="HF26" s="364"/>
      <c r="HG26" s="364"/>
      <c r="HH26" s="364"/>
      <c r="HI26" s="364"/>
      <c r="HJ26" s="364"/>
      <c r="HK26" s="364"/>
      <c r="HL26" s="364"/>
      <c r="HM26" s="364"/>
      <c r="HN26" s="364"/>
      <c r="HO26" s="364"/>
      <c r="HP26" s="364"/>
      <c r="HQ26" s="364"/>
      <c r="HR26" s="364"/>
      <c r="HS26" s="364"/>
      <c r="HT26" s="364"/>
      <c r="HU26" s="364"/>
      <c r="HV26" s="364"/>
      <c r="HW26" s="364"/>
      <c r="HX26" s="364"/>
      <c r="HY26" s="364"/>
      <c r="HZ26" s="364"/>
      <c r="IA26" s="364"/>
      <c r="IB26" s="364"/>
      <c r="IC26" s="364"/>
      <c r="ID26" s="364"/>
      <c r="IE26" s="364"/>
      <c r="IF26" s="364"/>
      <c r="IG26" s="364"/>
      <c r="IH26" s="364"/>
      <c r="II26" s="364"/>
      <c r="IJ26" s="364"/>
      <c r="IK26" s="364"/>
      <c r="IL26" s="364"/>
      <c r="IM26" s="364"/>
      <c r="IN26" s="364"/>
      <c r="IO26" s="364"/>
      <c r="IP26" s="364"/>
      <c r="IQ26" s="364"/>
      <c r="IR26" s="364"/>
      <c r="IS26" s="364"/>
      <c r="IT26" s="364"/>
      <c r="IU26" s="364"/>
      <c r="IV26" s="364"/>
      <c r="IW26" s="364"/>
      <c r="IX26" s="364"/>
      <c r="IY26" s="382" t="s">
        <v>187</v>
      </c>
      <c r="IZ26" s="382"/>
      <c r="JA26" s="382"/>
      <c r="JB26" s="382"/>
      <c r="JC26" s="382"/>
      <c r="JD26" s="382"/>
      <c r="JE26" s="364"/>
    </row>
    <row r="27" spans="1:265" s="174" customFormat="1" ht="19.95" customHeight="1">
      <c r="A27" s="450"/>
      <c r="B27" s="343"/>
      <c r="C27" s="328" t="s">
        <v>73</v>
      </c>
      <c r="D27" s="335"/>
      <c r="E27" s="451">
        <f>COUNTIFS(Table1351452010[[#All],[Sales]],"คุณนิยนต์ อยู่ทะเล",Table1351452010[[#All],[Total 
คอมฯค่าเชื่อมสัญญาณ
(3)]],"&gt;1")</f>
        <v>0</v>
      </c>
      <c r="F27" s="452">
        <f>SUMIF(Table1351452010[[#All],[Sales]],"คุณแดง มูลสองแคว",Table1351452010[[#All],[Total 
คอมฯค่าเชื่อมสัญญาณ
(3)]])</f>
        <v>0</v>
      </c>
      <c r="G27" s="437">
        <v>0</v>
      </c>
      <c r="H27" s="439">
        <f>F27-G27</f>
        <v>0</v>
      </c>
      <c r="I27" s="362"/>
      <c r="J27" s="362"/>
      <c r="K27" s="362"/>
      <c r="L27" s="362"/>
      <c r="M27" s="363"/>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c r="BM27" s="364"/>
      <c r="BN27" s="364"/>
      <c r="BO27" s="364"/>
      <c r="BP27" s="364"/>
      <c r="BQ27" s="364"/>
      <c r="BR27" s="364"/>
      <c r="BS27" s="364"/>
      <c r="BT27" s="364"/>
      <c r="BU27" s="364"/>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4"/>
      <c r="CZ27" s="364"/>
      <c r="DA27" s="364"/>
      <c r="DB27" s="364"/>
      <c r="DC27" s="364"/>
      <c r="DD27" s="364"/>
      <c r="DE27" s="364"/>
      <c r="DF27" s="364"/>
      <c r="DG27" s="364"/>
      <c r="DH27" s="364"/>
      <c r="DI27" s="364"/>
      <c r="DJ27" s="364"/>
      <c r="DK27" s="364"/>
      <c r="DL27" s="364"/>
      <c r="DM27" s="364"/>
      <c r="DN27" s="364"/>
      <c r="DO27" s="364"/>
      <c r="DP27" s="364"/>
      <c r="DQ27" s="364"/>
      <c r="DR27" s="364"/>
      <c r="DS27" s="364"/>
      <c r="DT27" s="364"/>
      <c r="DU27" s="364"/>
      <c r="DV27" s="364"/>
      <c r="DW27" s="364"/>
      <c r="DX27" s="364"/>
      <c r="DY27" s="364"/>
      <c r="DZ27" s="364"/>
      <c r="EA27" s="364"/>
      <c r="EB27" s="364"/>
      <c r="EC27" s="364"/>
      <c r="ED27" s="364"/>
      <c r="EE27" s="364"/>
      <c r="EF27" s="364"/>
      <c r="EG27" s="364"/>
      <c r="EH27" s="364"/>
      <c r="EI27" s="364"/>
      <c r="EJ27" s="364"/>
      <c r="EK27" s="364"/>
      <c r="EL27" s="364"/>
      <c r="EM27" s="364"/>
      <c r="EN27" s="364"/>
      <c r="EO27" s="364"/>
      <c r="EP27" s="364"/>
      <c r="EQ27" s="364"/>
      <c r="ER27" s="364"/>
      <c r="ES27" s="364"/>
      <c r="ET27" s="364"/>
      <c r="EU27" s="364"/>
      <c r="EV27" s="364"/>
      <c r="EW27" s="364"/>
      <c r="EX27" s="364"/>
      <c r="EY27" s="364"/>
      <c r="EZ27" s="364"/>
      <c r="FA27" s="364"/>
      <c r="FB27" s="364"/>
      <c r="FC27" s="364"/>
      <c r="FD27" s="364"/>
      <c r="FE27" s="364"/>
      <c r="FF27" s="364"/>
      <c r="FG27" s="364"/>
      <c r="FH27" s="364"/>
      <c r="FI27" s="364"/>
      <c r="FJ27" s="364"/>
      <c r="FK27" s="364"/>
      <c r="FL27" s="364"/>
      <c r="FM27" s="364"/>
      <c r="FN27" s="364"/>
      <c r="FO27" s="364"/>
      <c r="FP27" s="364"/>
      <c r="FQ27" s="364"/>
      <c r="FR27" s="364"/>
      <c r="FS27" s="364"/>
      <c r="FT27" s="364"/>
      <c r="FU27" s="364"/>
      <c r="FV27" s="364"/>
      <c r="FW27" s="364"/>
      <c r="FX27" s="364"/>
      <c r="FY27" s="364"/>
      <c r="FZ27" s="364"/>
      <c r="GA27" s="364"/>
      <c r="GB27" s="364"/>
      <c r="GC27" s="364"/>
      <c r="GD27" s="364"/>
      <c r="GE27" s="364"/>
      <c r="GF27" s="364"/>
      <c r="GG27" s="364"/>
      <c r="GH27" s="364"/>
      <c r="GI27" s="364"/>
      <c r="GJ27" s="364"/>
      <c r="GK27" s="364"/>
      <c r="GL27" s="364"/>
      <c r="GM27" s="364"/>
      <c r="GN27" s="364"/>
      <c r="GO27" s="364"/>
      <c r="GP27" s="364"/>
      <c r="GQ27" s="364"/>
      <c r="GR27" s="364"/>
      <c r="GS27" s="364"/>
      <c r="GT27" s="364"/>
      <c r="GU27" s="364"/>
      <c r="GV27" s="364"/>
      <c r="GW27" s="364"/>
      <c r="GX27" s="364"/>
      <c r="GY27" s="364"/>
      <c r="GZ27" s="364"/>
      <c r="HA27" s="364"/>
      <c r="HB27" s="364"/>
      <c r="HC27" s="364"/>
      <c r="HD27" s="364"/>
      <c r="HE27" s="364"/>
      <c r="HF27" s="364"/>
      <c r="HG27" s="364"/>
      <c r="HH27" s="364"/>
      <c r="HI27" s="364"/>
      <c r="HJ27" s="364"/>
      <c r="HK27" s="364"/>
      <c r="HL27" s="364"/>
      <c r="HM27" s="364"/>
      <c r="HN27" s="364"/>
      <c r="HO27" s="364"/>
      <c r="HP27" s="364"/>
      <c r="HQ27" s="364"/>
      <c r="HR27" s="364"/>
      <c r="HS27" s="364"/>
      <c r="HT27" s="364"/>
      <c r="HU27" s="364"/>
      <c r="HV27" s="364"/>
      <c r="HW27" s="364"/>
      <c r="HX27" s="364"/>
      <c r="HY27" s="364"/>
      <c r="HZ27" s="364"/>
      <c r="IA27" s="364"/>
      <c r="IB27" s="364"/>
      <c r="IC27" s="364"/>
      <c r="ID27" s="364"/>
      <c r="IE27" s="364"/>
      <c r="IF27" s="364"/>
      <c r="IG27" s="364"/>
      <c r="IH27" s="364"/>
      <c r="II27" s="364"/>
      <c r="IJ27" s="364"/>
      <c r="IK27" s="364"/>
      <c r="IL27" s="364"/>
      <c r="IM27" s="364"/>
      <c r="IN27" s="364"/>
      <c r="IO27" s="364"/>
      <c r="IP27" s="364"/>
      <c r="IQ27" s="364"/>
      <c r="IR27" s="364"/>
      <c r="IS27" s="364"/>
      <c r="IT27" s="364"/>
      <c r="IU27" s="364"/>
      <c r="IV27" s="364"/>
      <c r="IW27" s="364"/>
      <c r="IX27" s="364"/>
      <c r="IY27" s="348" t="s">
        <v>70</v>
      </c>
      <c r="IZ27" s="348"/>
      <c r="JA27" s="348"/>
      <c r="JB27" s="348"/>
      <c r="JC27" s="348"/>
      <c r="JD27" s="348"/>
      <c r="JE27" s="364"/>
    </row>
    <row r="28" spans="1:265" s="174" customFormat="1" ht="19.95" customHeight="1">
      <c r="A28" s="450"/>
      <c r="B28" s="343"/>
      <c r="C28" s="328" t="s">
        <v>74</v>
      </c>
      <c r="D28" s="335"/>
      <c r="E28" s="451">
        <f>COUNTIFS(Table1351452010[[#All],[Sales]],"คุณจินตนา อ้อยหวาน",Table1351452010[[#All],[Total 
คอมฯค่าเชื่อมสัญญาณ
(3)]],"&gt;1")</f>
        <v>0</v>
      </c>
      <c r="F28" s="452">
        <f>SUMIF(Table1351452010[[#All],[Sales]],"คุณจินตนา อ้อยหวาน",Table1351452010[[#All],[Total 
คอมฯค่าเชื่อมสัญญาณ
(3)]])</f>
        <v>0</v>
      </c>
      <c r="G28" s="437">
        <v>0</v>
      </c>
      <c r="H28" s="439">
        <f t="shared" ref="H28:H34" si="3">F28-G28</f>
        <v>0</v>
      </c>
      <c r="I28" s="362"/>
      <c r="J28" s="362"/>
      <c r="K28" s="362"/>
      <c r="L28" s="362"/>
      <c r="M28" s="363"/>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4"/>
      <c r="CA28" s="364"/>
      <c r="CB28" s="364"/>
      <c r="CC28" s="364"/>
      <c r="CD28" s="364"/>
      <c r="CE28" s="364"/>
      <c r="CF28" s="364"/>
      <c r="CG28" s="364"/>
      <c r="CH28" s="364"/>
      <c r="CI28" s="364"/>
      <c r="CJ28" s="364"/>
      <c r="CK28" s="364"/>
      <c r="CL28" s="364"/>
      <c r="CM28" s="364"/>
      <c r="CN28" s="364"/>
      <c r="CO28" s="364"/>
      <c r="CP28" s="364"/>
      <c r="CQ28" s="364"/>
      <c r="CR28" s="364"/>
      <c r="CS28" s="364"/>
      <c r="CT28" s="364"/>
      <c r="CU28" s="364"/>
      <c r="CV28" s="364"/>
      <c r="CW28" s="364"/>
      <c r="CX28" s="364"/>
      <c r="CY28" s="364"/>
      <c r="CZ28" s="364"/>
      <c r="DA28" s="364"/>
      <c r="DB28" s="364"/>
      <c r="DC28" s="364"/>
      <c r="DD28" s="364"/>
      <c r="DE28" s="364"/>
      <c r="DF28" s="364"/>
      <c r="DG28" s="364"/>
      <c r="DH28" s="364"/>
      <c r="DI28" s="364"/>
      <c r="DJ28" s="364"/>
      <c r="DK28" s="364"/>
      <c r="DL28" s="364"/>
      <c r="DM28" s="364"/>
      <c r="DN28" s="364"/>
      <c r="DO28" s="364"/>
      <c r="DP28" s="364"/>
      <c r="DQ28" s="364"/>
      <c r="DR28" s="364"/>
      <c r="DS28" s="364"/>
      <c r="DT28" s="364"/>
      <c r="DU28" s="364"/>
      <c r="DV28" s="364"/>
      <c r="DW28" s="364"/>
      <c r="DX28" s="364"/>
      <c r="DY28" s="364"/>
      <c r="DZ28" s="364"/>
      <c r="EA28" s="364"/>
      <c r="EB28" s="364"/>
      <c r="EC28" s="364"/>
      <c r="ED28" s="364"/>
      <c r="EE28" s="364"/>
      <c r="EF28" s="364"/>
      <c r="EG28" s="364"/>
      <c r="EH28" s="364"/>
      <c r="EI28" s="364"/>
      <c r="EJ28" s="364"/>
      <c r="EK28" s="364"/>
      <c r="EL28" s="364"/>
      <c r="EM28" s="364"/>
      <c r="EN28" s="364"/>
      <c r="EO28" s="364"/>
      <c r="EP28" s="364"/>
      <c r="EQ28" s="364"/>
      <c r="ER28" s="364"/>
      <c r="ES28" s="364"/>
      <c r="ET28" s="364"/>
      <c r="EU28" s="364"/>
      <c r="EV28" s="364"/>
      <c r="EW28" s="364"/>
      <c r="EX28" s="364"/>
      <c r="EY28" s="364"/>
      <c r="EZ28" s="364"/>
      <c r="FA28" s="364"/>
      <c r="FB28" s="364"/>
      <c r="FC28" s="364"/>
      <c r="FD28" s="364"/>
      <c r="FE28" s="364"/>
      <c r="FF28" s="364"/>
      <c r="FG28" s="364"/>
      <c r="FH28" s="364"/>
      <c r="FI28" s="364"/>
      <c r="FJ28" s="364"/>
      <c r="FK28" s="364"/>
      <c r="FL28" s="364"/>
      <c r="FM28" s="364"/>
      <c r="FN28" s="364"/>
      <c r="FO28" s="364"/>
      <c r="FP28" s="364"/>
      <c r="FQ28" s="364"/>
      <c r="FR28" s="364"/>
      <c r="FS28" s="364"/>
      <c r="FT28" s="364"/>
      <c r="FU28" s="364"/>
      <c r="FV28" s="364"/>
      <c r="FW28" s="364"/>
      <c r="FX28" s="364"/>
      <c r="FY28" s="364"/>
      <c r="FZ28" s="364"/>
      <c r="GA28" s="364"/>
      <c r="GB28" s="364"/>
      <c r="GC28" s="364"/>
      <c r="GD28" s="364"/>
      <c r="GE28" s="364"/>
      <c r="GF28" s="364"/>
      <c r="GG28" s="364"/>
      <c r="GH28" s="364"/>
      <c r="GI28" s="364"/>
      <c r="GJ28" s="364"/>
      <c r="GK28" s="364"/>
      <c r="GL28" s="364"/>
      <c r="GM28" s="364"/>
      <c r="GN28" s="364"/>
      <c r="GO28" s="364"/>
      <c r="GP28" s="364"/>
      <c r="GQ28" s="364"/>
      <c r="GR28" s="364"/>
      <c r="GS28" s="364"/>
      <c r="GT28" s="364"/>
      <c r="GU28" s="364"/>
      <c r="GV28" s="364"/>
      <c r="GW28" s="364"/>
      <c r="GX28" s="364"/>
      <c r="GY28" s="364"/>
      <c r="GZ28" s="364"/>
      <c r="HA28" s="364"/>
      <c r="HB28" s="364"/>
      <c r="HC28" s="364"/>
      <c r="HD28" s="364"/>
      <c r="HE28" s="364"/>
      <c r="HF28" s="364"/>
      <c r="HG28" s="364"/>
      <c r="HH28" s="364"/>
      <c r="HI28" s="364"/>
      <c r="HJ28" s="364"/>
      <c r="HK28" s="364"/>
      <c r="HL28" s="364"/>
      <c r="HM28" s="364"/>
      <c r="HN28" s="364"/>
      <c r="HO28" s="364"/>
      <c r="HP28" s="364"/>
      <c r="HQ28" s="364"/>
      <c r="HR28" s="364"/>
      <c r="HS28" s="364"/>
      <c r="HT28" s="364"/>
      <c r="HU28" s="364"/>
      <c r="HV28" s="364"/>
      <c r="HW28" s="364"/>
      <c r="HX28" s="364"/>
      <c r="HY28" s="364"/>
      <c r="HZ28" s="364"/>
      <c r="IA28" s="364"/>
      <c r="IB28" s="364"/>
      <c r="IC28" s="364"/>
      <c r="ID28" s="364"/>
      <c r="IE28" s="364"/>
      <c r="IF28" s="364"/>
      <c r="IG28" s="364"/>
      <c r="IH28" s="364"/>
      <c r="II28" s="364"/>
      <c r="IJ28" s="364"/>
      <c r="IK28" s="364"/>
      <c r="IL28" s="364"/>
      <c r="IM28" s="364"/>
      <c r="IN28" s="364"/>
      <c r="IO28" s="364"/>
      <c r="IP28" s="364"/>
      <c r="IQ28" s="364"/>
      <c r="IR28" s="364"/>
      <c r="IS28" s="364"/>
      <c r="IT28" s="364"/>
      <c r="IU28" s="364"/>
      <c r="IV28" s="364"/>
      <c r="IW28" s="364"/>
      <c r="IX28" s="364"/>
      <c r="IY28" s="348" t="s">
        <v>71</v>
      </c>
      <c r="IZ28" s="348"/>
      <c r="JA28" s="348"/>
      <c r="JB28" s="348"/>
      <c r="JC28" s="348"/>
      <c r="JD28" s="348"/>
      <c r="JE28" s="364"/>
    </row>
    <row r="29" spans="1:265" s="174" customFormat="1" ht="19.95" customHeight="1">
      <c r="A29" s="450"/>
      <c r="B29" s="343"/>
      <c r="C29" s="328" t="s">
        <v>75</v>
      </c>
      <c r="D29" s="335"/>
      <c r="E29" s="451">
        <f>COUNTIFS(Table1351452010[[#All],[Sales]],"คุณพัชรพรรณ พึ่งพา",Table1351452010[[#All],[Total 
คอมฯค่าเชื่อมสัญญาณ
(3)]],"&gt;1")</f>
        <v>0</v>
      </c>
      <c r="F29" s="452">
        <f>SUMIF(Table1351452010[[#All],[Sales]],"คุณพัชรพรรณ พึ่งพา",Table1351452010[[#All],[Total 
คอมฯค่าเชื่อมสัญญาณ
(3)]])</f>
        <v>0</v>
      </c>
      <c r="G29" s="437">
        <v>0</v>
      </c>
      <c r="H29" s="439">
        <f t="shared" si="3"/>
        <v>0</v>
      </c>
      <c r="I29" s="362"/>
      <c r="J29" s="362"/>
      <c r="K29" s="362"/>
      <c r="L29" s="362"/>
      <c r="M29" s="363"/>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c r="BM29" s="364"/>
      <c r="BN29" s="364"/>
      <c r="BO29" s="364"/>
      <c r="BP29" s="364"/>
      <c r="BQ29" s="364"/>
      <c r="BR29" s="364"/>
      <c r="BS29" s="364"/>
      <c r="BT29" s="364"/>
      <c r="BU29" s="364"/>
      <c r="BV29" s="364"/>
      <c r="BW29" s="364"/>
      <c r="BX29" s="364"/>
      <c r="BY29" s="364"/>
      <c r="BZ29" s="364"/>
      <c r="CA29" s="364"/>
      <c r="CB29" s="364"/>
      <c r="CC29" s="364"/>
      <c r="CD29" s="364"/>
      <c r="CE29" s="364"/>
      <c r="CF29" s="364"/>
      <c r="CG29" s="364"/>
      <c r="CH29" s="364"/>
      <c r="CI29" s="364"/>
      <c r="CJ29" s="364"/>
      <c r="CK29" s="364"/>
      <c r="CL29" s="364"/>
      <c r="CM29" s="364"/>
      <c r="CN29" s="364"/>
      <c r="CO29" s="364"/>
      <c r="CP29" s="364"/>
      <c r="CQ29" s="364"/>
      <c r="CR29" s="364"/>
      <c r="CS29" s="364"/>
      <c r="CT29" s="364"/>
      <c r="CU29" s="364"/>
      <c r="CV29" s="364"/>
      <c r="CW29" s="364"/>
      <c r="CX29" s="364"/>
      <c r="CY29" s="364"/>
      <c r="CZ29" s="364"/>
      <c r="DA29" s="364"/>
      <c r="DB29" s="364"/>
      <c r="DC29" s="364"/>
      <c r="DD29" s="364"/>
      <c r="DE29" s="364"/>
      <c r="DF29" s="364"/>
      <c r="DG29" s="364"/>
      <c r="DH29" s="364"/>
      <c r="DI29" s="364"/>
      <c r="DJ29" s="364"/>
      <c r="DK29" s="364"/>
      <c r="DL29" s="364"/>
      <c r="DM29" s="364"/>
      <c r="DN29" s="364"/>
      <c r="DO29" s="364"/>
      <c r="DP29" s="364"/>
      <c r="DQ29" s="364"/>
      <c r="DR29" s="364"/>
      <c r="DS29" s="364"/>
      <c r="DT29" s="364"/>
      <c r="DU29" s="364"/>
      <c r="DV29" s="364"/>
      <c r="DW29" s="364"/>
      <c r="DX29" s="364"/>
      <c r="DY29" s="364"/>
      <c r="DZ29" s="364"/>
      <c r="EA29" s="364"/>
      <c r="EB29" s="364"/>
      <c r="EC29" s="364"/>
      <c r="ED29" s="364"/>
      <c r="EE29" s="364"/>
      <c r="EF29" s="364"/>
      <c r="EG29" s="364"/>
      <c r="EH29" s="364"/>
      <c r="EI29" s="364"/>
      <c r="EJ29" s="364"/>
      <c r="EK29" s="364"/>
      <c r="EL29" s="364"/>
      <c r="EM29" s="364"/>
      <c r="EN29" s="364"/>
      <c r="EO29" s="364"/>
      <c r="EP29" s="364"/>
      <c r="EQ29" s="364"/>
      <c r="ER29" s="364"/>
      <c r="ES29" s="364"/>
      <c r="ET29" s="364"/>
      <c r="EU29" s="364"/>
      <c r="EV29" s="364"/>
      <c r="EW29" s="364"/>
      <c r="EX29" s="364"/>
      <c r="EY29" s="364"/>
      <c r="EZ29" s="364"/>
      <c r="FA29" s="364"/>
      <c r="FB29" s="364"/>
      <c r="FC29" s="364"/>
      <c r="FD29" s="364"/>
      <c r="FE29" s="364"/>
      <c r="FF29" s="364"/>
      <c r="FG29" s="364"/>
      <c r="FH29" s="364"/>
      <c r="FI29" s="364"/>
      <c r="FJ29" s="364"/>
      <c r="FK29" s="364"/>
      <c r="FL29" s="364"/>
      <c r="FM29" s="364"/>
      <c r="FN29" s="364"/>
      <c r="FO29" s="364"/>
      <c r="FP29" s="364"/>
      <c r="FQ29" s="364"/>
      <c r="FR29" s="364"/>
      <c r="FS29" s="364"/>
      <c r="FT29" s="364"/>
      <c r="FU29" s="364"/>
      <c r="FV29" s="364"/>
      <c r="FW29" s="364"/>
      <c r="FX29" s="364"/>
      <c r="FY29" s="364"/>
      <c r="FZ29" s="364"/>
      <c r="GA29" s="364"/>
      <c r="GB29" s="364"/>
      <c r="GC29" s="364"/>
      <c r="GD29" s="364"/>
      <c r="GE29" s="364"/>
      <c r="GF29" s="364"/>
      <c r="GG29" s="364"/>
      <c r="GH29" s="364"/>
      <c r="GI29" s="364"/>
      <c r="GJ29" s="364"/>
      <c r="GK29" s="364"/>
      <c r="GL29" s="364"/>
      <c r="GM29" s="364"/>
      <c r="GN29" s="364"/>
      <c r="GO29" s="364"/>
      <c r="GP29" s="364"/>
      <c r="GQ29" s="364"/>
      <c r="GR29" s="364"/>
      <c r="GS29" s="364"/>
      <c r="GT29" s="364"/>
      <c r="GU29" s="364"/>
      <c r="GV29" s="364"/>
      <c r="GW29" s="364"/>
      <c r="GX29" s="364"/>
      <c r="GY29" s="364"/>
      <c r="GZ29" s="364"/>
      <c r="HA29" s="364"/>
      <c r="HB29" s="364"/>
      <c r="HC29" s="364"/>
      <c r="HD29" s="364"/>
      <c r="HE29" s="364"/>
      <c r="HF29" s="364"/>
      <c r="HG29" s="364"/>
      <c r="HH29" s="364"/>
      <c r="HI29" s="364"/>
      <c r="HJ29" s="364"/>
      <c r="HK29" s="364"/>
      <c r="HL29" s="364"/>
      <c r="HM29" s="364"/>
      <c r="HN29" s="364"/>
      <c r="HO29" s="364"/>
      <c r="HP29" s="364"/>
      <c r="HQ29" s="364"/>
      <c r="HR29" s="364"/>
      <c r="HS29" s="364"/>
      <c r="HT29" s="364"/>
      <c r="HU29" s="364"/>
      <c r="HV29" s="364"/>
      <c r="HW29" s="364"/>
      <c r="HX29" s="364"/>
      <c r="HY29" s="364"/>
      <c r="HZ29" s="364"/>
      <c r="IA29" s="364"/>
      <c r="IB29" s="364"/>
      <c r="IC29" s="364"/>
      <c r="ID29" s="364"/>
      <c r="IE29" s="364"/>
      <c r="IF29" s="364"/>
      <c r="IG29" s="364"/>
      <c r="IH29" s="364"/>
      <c r="II29" s="364"/>
      <c r="IJ29" s="364"/>
      <c r="IK29" s="364"/>
      <c r="IL29" s="364"/>
      <c r="IM29" s="364"/>
      <c r="IN29" s="364"/>
      <c r="IO29" s="364"/>
      <c r="IP29" s="364"/>
      <c r="IQ29" s="364"/>
      <c r="IR29" s="364"/>
      <c r="IS29" s="364"/>
      <c r="IT29" s="364"/>
      <c r="IU29" s="364"/>
      <c r="IV29" s="364"/>
      <c r="IW29" s="364"/>
      <c r="IX29" s="364"/>
      <c r="IY29" s="348" t="s">
        <v>73</v>
      </c>
      <c r="IZ29" s="348"/>
      <c r="JA29" s="348"/>
      <c r="JB29" s="348"/>
      <c r="JC29" s="348"/>
      <c r="JD29" s="348"/>
      <c r="JE29" s="364"/>
    </row>
    <row r="30" spans="1:265" s="174" customFormat="1" ht="19.95" customHeight="1">
      <c r="A30" s="450"/>
      <c r="B30" s="343"/>
      <c r="C30" s="328" t="s">
        <v>152</v>
      </c>
      <c r="D30" s="335"/>
      <c r="E30" s="451">
        <f>COUNTIFS(Table1351452010[[#All],[Sales]],"คุณนรินทร์ ปิงมูล",Table1351452010[[#All],[Total 
คอมฯค่าเชื่อมสัญญาณ
(3)]],"&gt;1")</f>
        <v>0</v>
      </c>
      <c r="F30" s="452">
        <f>SUMIF(Table1351452010[[#All],[Sales]],"คุณนรินทร์ ปิงมูล",Table1351452010[[#All],[Total 
คอมฯค่าเชื่อมสัญญาณ
(3)]])</f>
        <v>0</v>
      </c>
      <c r="G30" s="437">
        <v>0</v>
      </c>
      <c r="H30" s="439">
        <f t="shared" si="3"/>
        <v>0</v>
      </c>
      <c r="I30" s="362"/>
      <c r="J30" s="362"/>
      <c r="K30" s="362"/>
      <c r="L30" s="362"/>
      <c r="M30" s="363"/>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4"/>
      <c r="BP30" s="364"/>
      <c r="BQ30" s="364"/>
      <c r="BR30" s="364"/>
      <c r="BS30" s="364"/>
      <c r="BT30" s="364"/>
      <c r="BU30" s="364"/>
      <c r="BV30" s="364"/>
      <c r="BW30" s="364"/>
      <c r="BX30" s="364"/>
      <c r="BY30" s="364"/>
      <c r="BZ30" s="364"/>
      <c r="CA30" s="364"/>
      <c r="CB30" s="364"/>
      <c r="CC30" s="364"/>
      <c r="CD30" s="364"/>
      <c r="CE30" s="364"/>
      <c r="CF30" s="364"/>
      <c r="CG30" s="364"/>
      <c r="CH30" s="364"/>
      <c r="CI30" s="364"/>
      <c r="CJ30" s="364"/>
      <c r="CK30" s="364"/>
      <c r="CL30" s="364"/>
      <c r="CM30" s="364"/>
      <c r="CN30" s="364"/>
      <c r="CO30" s="364"/>
      <c r="CP30" s="364"/>
      <c r="CQ30" s="364"/>
      <c r="CR30" s="364"/>
      <c r="CS30" s="364"/>
      <c r="CT30" s="364"/>
      <c r="CU30" s="364"/>
      <c r="CV30" s="364"/>
      <c r="CW30" s="364"/>
      <c r="CX30" s="364"/>
      <c r="CY30" s="364"/>
      <c r="CZ30" s="364"/>
      <c r="DA30" s="364"/>
      <c r="DB30" s="364"/>
      <c r="DC30" s="364"/>
      <c r="DD30" s="364"/>
      <c r="DE30" s="364"/>
      <c r="DF30" s="364"/>
      <c r="DG30" s="364"/>
      <c r="DH30" s="364"/>
      <c r="DI30" s="364"/>
      <c r="DJ30" s="364"/>
      <c r="DK30" s="364"/>
      <c r="DL30" s="364"/>
      <c r="DM30" s="364"/>
      <c r="DN30" s="364"/>
      <c r="DO30" s="364"/>
      <c r="DP30" s="364"/>
      <c r="DQ30" s="364"/>
      <c r="DR30" s="364"/>
      <c r="DS30" s="364"/>
      <c r="DT30" s="364"/>
      <c r="DU30" s="364"/>
      <c r="DV30" s="364"/>
      <c r="DW30" s="364"/>
      <c r="DX30" s="364"/>
      <c r="DY30" s="364"/>
      <c r="DZ30" s="364"/>
      <c r="EA30" s="364"/>
      <c r="EB30" s="364"/>
      <c r="EC30" s="364"/>
      <c r="ED30" s="364"/>
      <c r="EE30" s="364"/>
      <c r="EF30" s="364"/>
      <c r="EG30" s="364"/>
      <c r="EH30" s="364"/>
      <c r="EI30" s="364"/>
      <c r="EJ30" s="364"/>
      <c r="EK30" s="364"/>
      <c r="EL30" s="364"/>
      <c r="EM30" s="364"/>
      <c r="EN30" s="364"/>
      <c r="EO30" s="364"/>
      <c r="EP30" s="364"/>
      <c r="EQ30" s="364"/>
      <c r="ER30" s="364"/>
      <c r="ES30" s="364"/>
      <c r="ET30" s="364"/>
      <c r="EU30" s="364"/>
      <c r="EV30" s="364"/>
      <c r="EW30" s="364"/>
      <c r="EX30" s="364"/>
      <c r="EY30" s="364"/>
      <c r="EZ30" s="364"/>
      <c r="FA30" s="364"/>
      <c r="FB30" s="364"/>
      <c r="FC30" s="364"/>
      <c r="FD30" s="364"/>
      <c r="FE30" s="364"/>
      <c r="FF30" s="364"/>
      <c r="FG30" s="364"/>
      <c r="FH30" s="364"/>
      <c r="FI30" s="364"/>
      <c r="FJ30" s="364"/>
      <c r="FK30" s="364"/>
      <c r="FL30" s="364"/>
      <c r="FM30" s="364"/>
      <c r="FN30" s="364"/>
      <c r="FO30" s="364"/>
      <c r="FP30" s="364"/>
      <c r="FQ30" s="364"/>
      <c r="FR30" s="364"/>
      <c r="FS30" s="364"/>
      <c r="FT30" s="364"/>
      <c r="FU30" s="364"/>
      <c r="FV30" s="364"/>
      <c r="FW30" s="364"/>
      <c r="FX30" s="364"/>
      <c r="FY30" s="364"/>
      <c r="FZ30" s="364"/>
      <c r="GA30" s="364"/>
      <c r="GB30" s="364"/>
      <c r="GC30" s="364"/>
      <c r="GD30" s="364"/>
      <c r="GE30" s="364"/>
      <c r="GF30" s="364"/>
      <c r="GG30" s="364"/>
      <c r="GH30" s="364"/>
      <c r="GI30" s="364"/>
      <c r="GJ30" s="364"/>
      <c r="GK30" s="364"/>
      <c r="GL30" s="364"/>
      <c r="GM30" s="364"/>
      <c r="GN30" s="364"/>
      <c r="GO30" s="364"/>
      <c r="GP30" s="364"/>
      <c r="GQ30" s="364"/>
      <c r="GR30" s="364"/>
      <c r="GS30" s="364"/>
      <c r="GT30" s="364"/>
      <c r="GU30" s="364"/>
      <c r="GV30" s="364"/>
      <c r="GW30" s="364"/>
      <c r="GX30" s="364"/>
      <c r="GY30" s="364"/>
      <c r="GZ30" s="364"/>
      <c r="HA30" s="364"/>
      <c r="HB30" s="364"/>
      <c r="HC30" s="364"/>
      <c r="HD30" s="364"/>
      <c r="HE30" s="364"/>
      <c r="HF30" s="364"/>
      <c r="HG30" s="364"/>
      <c r="HH30" s="364"/>
      <c r="HI30" s="364"/>
      <c r="HJ30" s="364"/>
      <c r="HK30" s="364"/>
      <c r="HL30" s="364"/>
      <c r="HM30" s="364"/>
      <c r="HN30" s="364"/>
      <c r="HO30" s="364"/>
      <c r="HP30" s="364"/>
      <c r="HQ30" s="364"/>
      <c r="HR30" s="364"/>
      <c r="HS30" s="364"/>
      <c r="HT30" s="364"/>
      <c r="HU30" s="364"/>
      <c r="HV30" s="364"/>
      <c r="HW30" s="364"/>
      <c r="HX30" s="364"/>
      <c r="HY30" s="364"/>
      <c r="HZ30" s="364"/>
      <c r="IA30" s="364"/>
      <c r="IB30" s="364"/>
      <c r="IC30" s="364"/>
      <c r="ID30" s="364"/>
      <c r="IE30" s="364"/>
      <c r="IF30" s="364"/>
      <c r="IG30" s="364"/>
      <c r="IH30" s="364"/>
      <c r="II30" s="364"/>
      <c r="IJ30" s="364"/>
      <c r="IK30" s="364"/>
      <c r="IL30" s="364"/>
      <c r="IM30" s="364"/>
      <c r="IN30" s="364"/>
      <c r="IO30" s="364"/>
      <c r="IP30" s="364"/>
      <c r="IQ30" s="364"/>
      <c r="IR30" s="364"/>
      <c r="IS30" s="364"/>
      <c r="IT30" s="364"/>
      <c r="IU30" s="364"/>
      <c r="IV30" s="364"/>
      <c r="IW30" s="364"/>
      <c r="IX30" s="364"/>
      <c r="IY30" s="348" t="s">
        <v>74</v>
      </c>
      <c r="IZ30" s="348"/>
      <c r="JA30" s="348"/>
      <c r="JB30" s="348"/>
      <c r="JC30" s="348"/>
      <c r="JD30" s="348"/>
      <c r="JE30" s="364"/>
    </row>
    <row r="31" spans="1:265" s="174" customFormat="1" ht="19.95" customHeight="1">
      <c r="A31" s="450"/>
      <c r="B31" s="343"/>
      <c r="C31" s="328" t="s">
        <v>130</v>
      </c>
      <c r="D31" s="335"/>
      <c r="E31" s="451">
        <f>COUNTIFS(Table1351452010[[#All],[Sales]],"คุณชนัฐฎา สนคะมี",Table1351452010[[#All],[Total 
คอมฯค่าเชื่อมสัญญาณ
(3)]],"&gt;1")</f>
        <v>0</v>
      </c>
      <c r="F31" s="452">
        <f>SUMIF(Table1351452010[[#All],[Sales]],"คุณชนัฐฎา สนคะมี",Table1351452010[[#All],[Total 
คอมฯค่าเชื่อมสัญญาณ
(3)]])</f>
        <v>0</v>
      </c>
      <c r="G31" s="437">
        <v>0</v>
      </c>
      <c r="H31" s="439">
        <f t="shared" si="3"/>
        <v>0</v>
      </c>
      <c r="I31" s="362"/>
      <c r="J31" s="362"/>
      <c r="K31" s="362"/>
      <c r="L31" s="362"/>
      <c r="M31" s="363"/>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4"/>
      <c r="BU31" s="364"/>
      <c r="BV31" s="364"/>
      <c r="BW31" s="364"/>
      <c r="BX31" s="364"/>
      <c r="BY31" s="364"/>
      <c r="BZ31" s="364"/>
      <c r="CA31" s="364"/>
      <c r="CB31" s="364"/>
      <c r="CC31" s="364"/>
      <c r="CD31" s="364"/>
      <c r="CE31" s="364"/>
      <c r="CF31" s="364"/>
      <c r="CG31" s="364"/>
      <c r="CH31" s="364"/>
      <c r="CI31" s="364"/>
      <c r="CJ31" s="364"/>
      <c r="CK31" s="364"/>
      <c r="CL31" s="364"/>
      <c r="CM31" s="364"/>
      <c r="CN31" s="364"/>
      <c r="CO31" s="364"/>
      <c r="CP31" s="364"/>
      <c r="CQ31" s="364"/>
      <c r="CR31" s="364"/>
      <c r="CS31" s="364"/>
      <c r="CT31" s="364"/>
      <c r="CU31" s="364"/>
      <c r="CV31" s="364"/>
      <c r="CW31" s="364"/>
      <c r="CX31" s="364"/>
      <c r="CY31" s="364"/>
      <c r="CZ31" s="364"/>
      <c r="DA31" s="364"/>
      <c r="DB31" s="364"/>
      <c r="DC31" s="364"/>
      <c r="DD31" s="364"/>
      <c r="DE31" s="364"/>
      <c r="DF31" s="364"/>
      <c r="DG31" s="364"/>
      <c r="DH31" s="364"/>
      <c r="DI31" s="364"/>
      <c r="DJ31" s="364"/>
      <c r="DK31" s="364"/>
      <c r="DL31" s="364"/>
      <c r="DM31" s="364"/>
      <c r="DN31" s="364"/>
      <c r="DO31" s="364"/>
      <c r="DP31" s="364"/>
      <c r="DQ31" s="364"/>
      <c r="DR31" s="364"/>
      <c r="DS31" s="364"/>
      <c r="DT31" s="364"/>
      <c r="DU31" s="364"/>
      <c r="DV31" s="364"/>
      <c r="DW31" s="364"/>
      <c r="DX31" s="364"/>
      <c r="DY31" s="364"/>
      <c r="DZ31" s="364"/>
      <c r="EA31" s="364"/>
      <c r="EB31" s="364"/>
      <c r="EC31" s="364"/>
      <c r="ED31" s="364"/>
      <c r="EE31" s="364"/>
      <c r="EF31" s="364"/>
      <c r="EG31" s="364"/>
      <c r="EH31" s="364"/>
      <c r="EI31" s="364"/>
      <c r="EJ31" s="364"/>
      <c r="EK31" s="364"/>
      <c r="EL31" s="364"/>
      <c r="EM31" s="364"/>
      <c r="EN31" s="364"/>
      <c r="EO31" s="364"/>
      <c r="EP31" s="364"/>
      <c r="EQ31" s="364"/>
      <c r="ER31" s="364"/>
      <c r="ES31" s="364"/>
      <c r="ET31" s="364"/>
      <c r="EU31" s="364"/>
      <c r="EV31" s="364"/>
      <c r="EW31" s="364"/>
      <c r="EX31" s="364"/>
      <c r="EY31" s="364"/>
      <c r="EZ31" s="364"/>
      <c r="FA31" s="364"/>
      <c r="FB31" s="364"/>
      <c r="FC31" s="364"/>
      <c r="FD31" s="364"/>
      <c r="FE31" s="364"/>
      <c r="FF31" s="364"/>
      <c r="FG31" s="364"/>
      <c r="FH31" s="364"/>
      <c r="FI31" s="364"/>
      <c r="FJ31" s="364"/>
      <c r="FK31" s="364"/>
      <c r="FL31" s="364"/>
      <c r="FM31" s="364"/>
      <c r="FN31" s="364"/>
      <c r="FO31" s="364"/>
      <c r="FP31" s="364"/>
      <c r="FQ31" s="364"/>
      <c r="FR31" s="364"/>
      <c r="FS31" s="364"/>
      <c r="FT31" s="364"/>
      <c r="FU31" s="364"/>
      <c r="FV31" s="364"/>
      <c r="FW31" s="364"/>
      <c r="FX31" s="364"/>
      <c r="FY31" s="364"/>
      <c r="FZ31" s="364"/>
      <c r="GA31" s="364"/>
      <c r="GB31" s="364"/>
      <c r="GC31" s="364"/>
      <c r="GD31" s="364"/>
      <c r="GE31" s="364"/>
      <c r="GF31" s="364"/>
      <c r="GG31" s="364"/>
      <c r="GH31" s="364"/>
      <c r="GI31" s="364"/>
      <c r="GJ31" s="364"/>
      <c r="GK31" s="364"/>
      <c r="GL31" s="364"/>
      <c r="GM31" s="364"/>
      <c r="GN31" s="364"/>
      <c r="GO31" s="364"/>
      <c r="GP31" s="364"/>
      <c r="GQ31" s="364"/>
      <c r="GR31" s="364"/>
      <c r="GS31" s="364"/>
      <c r="GT31" s="364"/>
      <c r="GU31" s="364"/>
      <c r="GV31" s="364"/>
      <c r="GW31" s="364"/>
      <c r="GX31" s="364"/>
      <c r="GY31" s="364"/>
      <c r="GZ31" s="364"/>
      <c r="HA31" s="364"/>
      <c r="HB31" s="364"/>
      <c r="HC31" s="364"/>
      <c r="HD31" s="364"/>
      <c r="HE31" s="364"/>
      <c r="HF31" s="364"/>
      <c r="HG31" s="364"/>
      <c r="HH31" s="364"/>
      <c r="HI31" s="364"/>
      <c r="HJ31" s="364"/>
      <c r="HK31" s="364"/>
      <c r="HL31" s="364"/>
      <c r="HM31" s="364"/>
      <c r="HN31" s="364"/>
      <c r="HO31" s="364"/>
      <c r="HP31" s="364"/>
      <c r="HQ31" s="364"/>
      <c r="HR31" s="364"/>
      <c r="HS31" s="364"/>
      <c r="HT31" s="364"/>
      <c r="HU31" s="364"/>
      <c r="HV31" s="364"/>
      <c r="HW31" s="364"/>
      <c r="HX31" s="364"/>
      <c r="HY31" s="364"/>
      <c r="HZ31" s="364"/>
      <c r="IA31" s="364"/>
      <c r="IB31" s="364"/>
      <c r="IC31" s="364"/>
      <c r="ID31" s="364"/>
      <c r="IE31" s="364"/>
      <c r="IF31" s="364"/>
      <c r="IG31" s="364"/>
      <c r="IH31" s="364"/>
      <c r="II31" s="364"/>
      <c r="IJ31" s="364"/>
      <c r="IK31" s="364"/>
      <c r="IL31" s="364"/>
      <c r="IM31" s="364"/>
      <c r="IN31" s="364"/>
      <c r="IO31" s="364"/>
      <c r="IP31" s="364"/>
      <c r="IQ31" s="364"/>
      <c r="IR31" s="364"/>
      <c r="IS31" s="364"/>
      <c r="IT31" s="364"/>
      <c r="IU31" s="364"/>
      <c r="IV31" s="364"/>
      <c r="IW31" s="364"/>
      <c r="IX31" s="364"/>
      <c r="IY31" s="348" t="s">
        <v>75</v>
      </c>
      <c r="IZ31" s="348"/>
      <c r="JA31" s="348"/>
      <c r="JB31" s="348"/>
      <c r="JC31" s="348"/>
      <c r="JD31" s="348"/>
      <c r="JE31" s="364"/>
    </row>
    <row r="32" spans="1:265" s="174" customFormat="1" ht="19.95" customHeight="1">
      <c r="A32" s="450"/>
      <c r="B32" s="343"/>
      <c r="C32" s="328" t="s">
        <v>151</v>
      </c>
      <c r="D32" s="335"/>
      <c r="E32" s="451">
        <f>COUNTIFS(Table1351452010[[#All],[Sales]],"คุณจิรภิญญา เป็นปึก",Table1351452010[[#All],[Total 
คอมฯค่าเชื่อมสัญญาณ
(3)]],"&gt;1")</f>
        <v>0</v>
      </c>
      <c r="F32" s="452">
        <f>SUMIF(Table1351452010[[#All],[Sales]],"คุณจิรภิญญา เป็นปึก",Table1351452010[[#All],[Total 
คอมฯค่าเชื่อมสัญญาณ
(3)]])</f>
        <v>0</v>
      </c>
      <c r="G32" s="437">
        <v>0</v>
      </c>
      <c r="H32" s="439">
        <f t="shared" si="3"/>
        <v>0</v>
      </c>
      <c r="I32" s="362"/>
      <c r="J32" s="362"/>
      <c r="K32" s="362"/>
      <c r="L32" s="362"/>
      <c r="M32" s="363"/>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4"/>
      <c r="BP32" s="364"/>
      <c r="BQ32" s="364"/>
      <c r="BR32" s="364"/>
      <c r="BS32" s="364"/>
      <c r="BT32" s="364"/>
      <c r="BU32" s="364"/>
      <c r="BV32" s="364"/>
      <c r="BW32" s="364"/>
      <c r="BX32" s="364"/>
      <c r="BY32" s="364"/>
      <c r="BZ32" s="364"/>
      <c r="CA32" s="364"/>
      <c r="CB32" s="364"/>
      <c r="CC32" s="364"/>
      <c r="CD32" s="364"/>
      <c r="CE32" s="364"/>
      <c r="CF32" s="364"/>
      <c r="CG32" s="364"/>
      <c r="CH32" s="364"/>
      <c r="CI32" s="364"/>
      <c r="CJ32" s="364"/>
      <c r="CK32" s="364"/>
      <c r="CL32" s="364"/>
      <c r="CM32" s="364"/>
      <c r="CN32" s="364"/>
      <c r="CO32" s="364"/>
      <c r="CP32" s="364"/>
      <c r="CQ32" s="364"/>
      <c r="CR32" s="364"/>
      <c r="CS32" s="364"/>
      <c r="CT32" s="364"/>
      <c r="CU32" s="364"/>
      <c r="CV32" s="364"/>
      <c r="CW32" s="364"/>
      <c r="CX32" s="364"/>
      <c r="CY32" s="364"/>
      <c r="CZ32" s="364"/>
      <c r="DA32" s="364"/>
      <c r="DB32" s="364"/>
      <c r="DC32" s="364"/>
      <c r="DD32" s="364"/>
      <c r="DE32" s="364"/>
      <c r="DF32" s="364"/>
      <c r="DG32" s="364"/>
      <c r="DH32" s="364"/>
      <c r="DI32" s="364"/>
      <c r="DJ32" s="364"/>
      <c r="DK32" s="364"/>
      <c r="DL32" s="364"/>
      <c r="DM32" s="364"/>
      <c r="DN32" s="364"/>
      <c r="DO32" s="364"/>
      <c r="DP32" s="364"/>
      <c r="DQ32" s="364"/>
      <c r="DR32" s="364"/>
      <c r="DS32" s="364"/>
      <c r="DT32" s="364"/>
      <c r="DU32" s="364"/>
      <c r="DV32" s="364"/>
      <c r="DW32" s="364"/>
      <c r="DX32" s="364"/>
      <c r="DY32" s="364"/>
      <c r="DZ32" s="364"/>
      <c r="EA32" s="364"/>
      <c r="EB32" s="364"/>
      <c r="EC32" s="364"/>
      <c r="ED32" s="364"/>
      <c r="EE32" s="364"/>
      <c r="EF32" s="364"/>
      <c r="EG32" s="364"/>
      <c r="EH32" s="364"/>
      <c r="EI32" s="364"/>
      <c r="EJ32" s="364"/>
      <c r="EK32" s="364"/>
      <c r="EL32" s="364"/>
      <c r="EM32" s="364"/>
      <c r="EN32" s="364"/>
      <c r="EO32" s="364"/>
      <c r="EP32" s="364"/>
      <c r="EQ32" s="364"/>
      <c r="ER32" s="364"/>
      <c r="ES32" s="364"/>
      <c r="ET32" s="364"/>
      <c r="EU32" s="364"/>
      <c r="EV32" s="364"/>
      <c r="EW32" s="364"/>
      <c r="EX32" s="364"/>
      <c r="EY32" s="364"/>
      <c r="EZ32" s="364"/>
      <c r="FA32" s="364"/>
      <c r="FB32" s="364"/>
      <c r="FC32" s="364"/>
      <c r="FD32" s="364"/>
      <c r="FE32" s="364"/>
      <c r="FF32" s="364"/>
      <c r="FG32" s="364"/>
      <c r="FH32" s="364"/>
      <c r="FI32" s="364"/>
      <c r="FJ32" s="364"/>
      <c r="FK32" s="364"/>
      <c r="FL32" s="364"/>
      <c r="FM32" s="364"/>
      <c r="FN32" s="364"/>
      <c r="FO32" s="364"/>
      <c r="FP32" s="364"/>
      <c r="FQ32" s="364"/>
      <c r="FR32" s="364"/>
      <c r="FS32" s="364"/>
      <c r="FT32" s="364"/>
      <c r="FU32" s="364"/>
      <c r="FV32" s="364"/>
      <c r="FW32" s="364"/>
      <c r="FX32" s="364"/>
      <c r="FY32" s="364"/>
      <c r="FZ32" s="364"/>
      <c r="GA32" s="364"/>
      <c r="GB32" s="364"/>
      <c r="GC32" s="364"/>
      <c r="GD32" s="364"/>
      <c r="GE32" s="364"/>
      <c r="GF32" s="364"/>
      <c r="GG32" s="364"/>
      <c r="GH32" s="364"/>
      <c r="GI32" s="364"/>
      <c r="GJ32" s="364"/>
      <c r="GK32" s="364"/>
      <c r="GL32" s="364"/>
      <c r="GM32" s="364"/>
      <c r="GN32" s="364"/>
      <c r="GO32" s="364"/>
      <c r="GP32" s="364"/>
      <c r="GQ32" s="364"/>
      <c r="GR32" s="364"/>
      <c r="GS32" s="364"/>
      <c r="GT32" s="364"/>
      <c r="GU32" s="364"/>
      <c r="GV32" s="364"/>
      <c r="GW32" s="364"/>
      <c r="GX32" s="364"/>
      <c r="GY32" s="364"/>
      <c r="GZ32" s="364"/>
      <c r="HA32" s="364"/>
      <c r="HB32" s="364"/>
      <c r="HC32" s="364"/>
      <c r="HD32" s="364"/>
      <c r="HE32" s="364"/>
      <c r="HF32" s="364"/>
      <c r="HG32" s="364"/>
      <c r="HH32" s="364"/>
      <c r="HI32" s="364"/>
      <c r="HJ32" s="364"/>
      <c r="HK32" s="364"/>
      <c r="HL32" s="364"/>
      <c r="HM32" s="364"/>
      <c r="HN32" s="364"/>
      <c r="HO32" s="364"/>
      <c r="HP32" s="364"/>
      <c r="HQ32" s="364"/>
      <c r="HR32" s="364"/>
      <c r="HS32" s="364"/>
      <c r="HT32" s="364"/>
      <c r="HU32" s="364"/>
      <c r="HV32" s="364"/>
      <c r="HW32" s="364"/>
      <c r="HX32" s="364"/>
      <c r="HY32" s="364"/>
      <c r="HZ32" s="364"/>
      <c r="IA32" s="364"/>
      <c r="IB32" s="364"/>
      <c r="IC32" s="364"/>
      <c r="ID32" s="364"/>
      <c r="IE32" s="364"/>
      <c r="IF32" s="364"/>
      <c r="IG32" s="364"/>
      <c r="IH32" s="364"/>
      <c r="II32" s="364"/>
      <c r="IJ32" s="364"/>
      <c r="IK32" s="364"/>
      <c r="IL32" s="364"/>
      <c r="IM32" s="364"/>
      <c r="IN32" s="364"/>
      <c r="IO32" s="364"/>
      <c r="IP32" s="364"/>
      <c r="IQ32" s="364"/>
      <c r="IR32" s="364"/>
      <c r="IS32" s="364"/>
      <c r="IT32" s="364"/>
      <c r="IU32" s="364"/>
      <c r="IV32" s="364"/>
      <c r="IW32" s="364"/>
      <c r="IX32" s="364"/>
      <c r="IY32" s="348" t="s">
        <v>152</v>
      </c>
      <c r="IZ32" s="348"/>
      <c r="JA32" s="348"/>
      <c r="JB32" s="348"/>
      <c r="JC32" s="348"/>
      <c r="JD32" s="348"/>
      <c r="JE32" s="364"/>
    </row>
    <row r="33" spans="1:265" s="174" customFormat="1" ht="19.95" customHeight="1">
      <c r="A33" s="450"/>
      <c r="B33" s="343"/>
      <c r="C33" s="328" t="s">
        <v>72</v>
      </c>
      <c r="D33" s="335"/>
      <c r="E33" s="451">
        <f>COUNTIFS(Table1351452010[[#All],[Sales]],"คุณแดง มูลสองแคว",Table1351452010[[#All],[Total 
คอมฯค่าเชื่อมสัญญาณ
(3)]],"&gt;1")</f>
        <v>0</v>
      </c>
      <c r="F33" s="452">
        <f>SUMIF(Table1351452010[[#All],[Sales]],"คุณแดง มูลสองแคว",Table1351452010[[#All],[Total 
คอมฯค่าเชื่อมสัญญาณ
(3)]])</f>
        <v>0</v>
      </c>
      <c r="G33" s="437">
        <v>0</v>
      </c>
      <c r="H33" s="439">
        <f t="shared" si="3"/>
        <v>0</v>
      </c>
      <c r="I33" s="362"/>
      <c r="J33" s="362"/>
      <c r="K33" s="362"/>
      <c r="L33" s="362"/>
      <c r="M33" s="363"/>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c r="BQ33" s="364"/>
      <c r="BR33" s="364"/>
      <c r="BS33" s="364"/>
      <c r="BT33" s="364"/>
      <c r="BU33" s="364"/>
      <c r="BV33" s="364"/>
      <c r="BW33" s="364"/>
      <c r="BX33" s="364"/>
      <c r="BY33" s="364"/>
      <c r="BZ33" s="364"/>
      <c r="CA33" s="364"/>
      <c r="CB33" s="364"/>
      <c r="CC33" s="364"/>
      <c r="CD33" s="364"/>
      <c r="CE33" s="364"/>
      <c r="CF33" s="364"/>
      <c r="CG33" s="364"/>
      <c r="CH33" s="364"/>
      <c r="CI33" s="364"/>
      <c r="CJ33" s="364"/>
      <c r="CK33" s="364"/>
      <c r="CL33" s="364"/>
      <c r="CM33" s="364"/>
      <c r="CN33" s="364"/>
      <c r="CO33" s="364"/>
      <c r="CP33" s="364"/>
      <c r="CQ33" s="364"/>
      <c r="CR33" s="364"/>
      <c r="CS33" s="364"/>
      <c r="CT33" s="364"/>
      <c r="CU33" s="364"/>
      <c r="CV33" s="364"/>
      <c r="CW33" s="364"/>
      <c r="CX33" s="364"/>
      <c r="CY33" s="364"/>
      <c r="CZ33" s="364"/>
      <c r="DA33" s="364"/>
      <c r="DB33" s="364"/>
      <c r="DC33" s="364"/>
      <c r="DD33" s="364"/>
      <c r="DE33" s="364"/>
      <c r="DF33" s="364"/>
      <c r="DG33" s="364"/>
      <c r="DH33" s="364"/>
      <c r="DI33" s="364"/>
      <c r="DJ33" s="364"/>
      <c r="DK33" s="364"/>
      <c r="DL33" s="364"/>
      <c r="DM33" s="364"/>
      <c r="DN33" s="364"/>
      <c r="DO33" s="364"/>
      <c r="DP33" s="364"/>
      <c r="DQ33" s="364"/>
      <c r="DR33" s="364"/>
      <c r="DS33" s="364"/>
      <c r="DT33" s="364"/>
      <c r="DU33" s="364"/>
      <c r="DV33" s="364"/>
      <c r="DW33" s="364"/>
      <c r="DX33" s="364"/>
      <c r="DY33" s="364"/>
      <c r="DZ33" s="364"/>
      <c r="EA33" s="364"/>
      <c r="EB33" s="364"/>
      <c r="EC33" s="364"/>
      <c r="ED33" s="364"/>
      <c r="EE33" s="364"/>
      <c r="EF33" s="364"/>
      <c r="EG33" s="364"/>
      <c r="EH33" s="364"/>
      <c r="EI33" s="364"/>
      <c r="EJ33" s="364"/>
      <c r="EK33" s="364"/>
      <c r="EL33" s="364"/>
      <c r="EM33" s="364"/>
      <c r="EN33" s="364"/>
      <c r="EO33" s="364"/>
      <c r="EP33" s="364"/>
      <c r="EQ33" s="364"/>
      <c r="ER33" s="364"/>
      <c r="ES33" s="364"/>
      <c r="ET33" s="364"/>
      <c r="EU33" s="364"/>
      <c r="EV33" s="364"/>
      <c r="EW33" s="364"/>
      <c r="EX33" s="364"/>
      <c r="EY33" s="364"/>
      <c r="EZ33" s="364"/>
      <c r="FA33" s="364"/>
      <c r="FB33" s="364"/>
      <c r="FC33" s="364"/>
      <c r="FD33" s="364"/>
      <c r="FE33" s="364"/>
      <c r="FF33" s="364"/>
      <c r="FG33" s="364"/>
      <c r="FH33" s="364"/>
      <c r="FI33" s="364"/>
      <c r="FJ33" s="364"/>
      <c r="FK33" s="364"/>
      <c r="FL33" s="364"/>
      <c r="FM33" s="364"/>
      <c r="FN33" s="364"/>
      <c r="FO33" s="364"/>
      <c r="FP33" s="364"/>
      <c r="FQ33" s="364"/>
      <c r="FR33" s="364"/>
      <c r="FS33" s="364"/>
      <c r="FT33" s="364"/>
      <c r="FU33" s="364"/>
      <c r="FV33" s="364"/>
      <c r="FW33" s="364"/>
      <c r="FX33" s="364"/>
      <c r="FY33" s="364"/>
      <c r="FZ33" s="364"/>
      <c r="GA33" s="364"/>
      <c r="GB33" s="364"/>
      <c r="GC33" s="364"/>
      <c r="GD33" s="364"/>
      <c r="GE33" s="364"/>
      <c r="GF33" s="364"/>
      <c r="GG33" s="364"/>
      <c r="GH33" s="364"/>
      <c r="GI33" s="364"/>
      <c r="GJ33" s="364"/>
      <c r="GK33" s="364"/>
      <c r="GL33" s="364"/>
      <c r="GM33" s="364"/>
      <c r="GN33" s="364"/>
      <c r="GO33" s="364"/>
      <c r="GP33" s="364"/>
      <c r="GQ33" s="364"/>
      <c r="GR33" s="364"/>
      <c r="GS33" s="364"/>
      <c r="GT33" s="364"/>
      <c r="GU33" s="364"/>
      <c r="GV33" s="364"/>
      <c r="GW33" s="364"/>
      <c r="GX33" s="364"/>
      <c r="GY33" s="364"/>
      <c r="GZ33" s="364"/>
      <c r="HA33" s="364"/>
      <c r="HB33" s="364"/>
      <c r="HC33" s="364"/>
      <c r="HD33" s="364"/>
      <c r="HE33" s="364"/>
      <c r="HF33" s="364"/>
      <c r="HG33" s="364"/>
      <c r="HH33" s="364"/>
      <c r="HI33" s="364"/>
      <c r="HJ33" s="364"/>
      <c r="HK33" s="364"/>
      <c r="HL33" s="364"/>
      <c r="HM33" s="364"/>
      <c r="HN33" s="364"/>
      <c r="HO33" s="364"/>
      <c r="HP33" s="364"/>
      <c r="HQ33" s="364"/>
      <c r="HR33" s="364"/>
      <c r="HS33" s="364"/>
      <c r="HT33" s="364"/>
      <c r="HU33" s="364"/>
      <c r="HV33" s="364"/>
      <c r="HW33" s="364"/>
      <c r="HX33" s="364"/>
      <c r="HY33" s="364"/>
      <c r="HZ33" s="364"/>
      <c r="IA33" s="364"/>
      <c r="IB33" s="364"/>
      <c r="IC33" s="364"/>
      <c r="ID33" s="364"/>
      <c r="IE33" s="364"/>
      <c r="IF33" s="364"/>
      <c r="IG33" s="364"/>
      <c r="IH33" s="364"/>
      <c r="II33" s="364"/>
      <c r="IJ33" s="364"/>
      <c r="IK33" s="364"/>
      <c r="IL33" s="364"/>
      <c r="IM33" s="364"/>
      <c r="IN33" s="364"/>
      <c r="IO33" s="364"/>
      <c r="IP33" s="364"/>
      <c r="IQ33" s="364"/>
      <c r="IR33" s="364"/>
      <c r="IS33" s="364"/>
      <c r="IT33" s="364"/>
      <c r="IU33" s="364"/>
      <c r="IV33" s="364"/>
      <c r="IW33" s="364"/>
      <c r="IX33" s="364"/>
      <c r="IY33" s="348" t="s">
        <v>130</v>
      </c>
      <c r="IZ33" s="348"/>
      <c r="JA33" s="348"/>
      <c r="JB33" s="348"/>
      <c r="JC33" s="348"/>
      <c r="JD33" s="348"/>
      <c r="JE33" s="364"/>
    </row>
    <row r="34" spans="1:265" s="174" customFormat="1" ht="19.95" customHeight="1" thickBot="1">
      <c r="A34" s="450"/>
      <c r="B34" s="344"/>
      <c r="C34" s="328" t="s">
        <v>67</v>
      </c>
      <c r="D34" s="335"/>
      <c r="E34" s="451">
        <f>COUNTIFS(Table1351452010[[#All],[Sales]],"คุณรุ่งอรุณ อินบุญรอด",Table1351452010[[#All],[Total 
คอมฯค่าเชื่อมสัญญาณ
(3)]],"&gt;1")</f>
        <v>0</v>
      </c>
      <c r="F34" s="452">
        <f>SUMIF(Table1351452010[[#All],[Sales]],"คุณรุ่งอรุณ อินบุญรอด",Table1351452010[[#All],[Total 
คอมฯค่าเชื่อมสัญญาณ
(3)]])</f>
        <v>0</v>
      </c>
      <c r="G34" s="437">
        <v>0</v>
      </c>
      <c r="H34" s="439">
        <f t="shared" si="3"/>
        <v>0</v>
      </c>
      <c r="I34" s="362"/>
      <c r="J34" s="362"/>
      <c r="K34" s="362"/>
      <c r="L34" s="362"/>
      <c r="M34" s="363"/>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4"/>
      <c r="DH34" s="364"/>
      <c r="DI34" s="364"/>
      <c r="DJ34" s="364"/>
      <c r="DK34" s="364"/>
      <c r="DL34" s="364"/>
      <c r="DM34" s="364"/>
      <c r="DN34" s="364"/>
      <c r="DO34" s="364"/>
      <c r="DP34" s="364"/>
      <c r="DQ34" s="364"/>
      <c r="DR34" s="364"/>
      <c r="DS34" s="364"/>
      <c r="DT34" s="364"/>
      <c r="DU34" s="364"/>
      <c r="DV34" s="364"/>
      <c r="DW34" s="364"/>
      <c r="DX34" s="364"/>
      <c r="DY34" s="364"/>
      <c r="DZ34" s="364"/>
      <c r="EA34" s="364"/>
      <c r="EB34" s="364"/>
      <c r="EC34" s="364"/>
      <c r="ED34" s="364"/>
      <c r="EE34" s="364"/>
      <c r="EF34" s="364"/>
      <c r="EG34" s="364"/>
      <c r="EH34" s="364"/>
      <c r="EI34" s="364"/>
      <c r="EJ34" s="364"/>
      <c r="EK34" s="364"/>
      <c r="EL34" s="364"/>
      <c r="EM34" s="364"/>
      <c r="EN34" s="364"/>
      <c r="EO34" s="364"/>
      <c r="EP34" s="364"/>
      <c r="EQ34" s="364"/>
      <c r="ER34" s="364"/>
      <c r="ES34" s="364"/>
      <c r="ET34" s="364"/>
      <c r="EU34" s="364"/>
      <c r="EV34" s="364"/>
      <c r="EW34" s="364"/>
      <c r="EX34" s="364"/>
      <c r="EY34" s="364"/>
      <c r="EZ34" s="364"/>
      <c r="FA34" s="364"/>
      <c r="FB34" s="364"/>
      <c r="FC34" s="364"/>
      <c r="FD34" s="364"/>
      <c r="FE34" s="364"/>
      <c r="FF34" s="364"/>
      <c r="FG34" s="364"/>
      <c r="FH34" s="364"/>
      <c r="FI34" s="364"/>
      <c r="FJ34" s="364"/>
      <c r="FK34" s="364"/>
      <c r="FL34" s="364"/>
      <c r="FM34" s="364"/>
      <c r="FN34" s="364"/>
      <c r="FO34" s="364"/>
      <c r="FP34" s="364"/>
      <c r="FQ34" s="364"/>
      <c r="FR34" s="364"/>
      <c r="FS34" s="364"/>
      <c r="FT34" s="364"/>
      <c r="FU34" s="364"/>
      <c r="FV34" s="364"/>
      <c r="FW34" s="364"/>
      <c r="FX34" s="364"/>
      <c r="FY34" s="364"/>
      <c r="FZ34" s="364"/>
      <c r="GA34" s="364"/>
      <c r="GB34" s="364"/>
      <c r="GC34" s="364"/>
      <c r="GD34" s="364"/>
      <c r="GE34" s="364"/>
      <c r="GF34" s="364"/>
      <c r="GG34" s="364"/>
      <c r="GH34" s="364"/>
      <c r="GI34" s="364"/>
      <c r="GJ34" s="364"/>
      <c r="GK34" s="364"/>
      <c r="GL34" s="364"/>
      <c r="GM34" s="364"/>
      <c r="GN34" s="364"/>
      <c r="GO34" s="364"/>
      <c r="GP34" s="364"/>
      <c r="GQ34" s="364"/>
      <c r="GR34" s="364"/>
      <c r="GS34" s="364"/>
      <c r="GT34" s="364"/>
      <c r="GU34" s="364"/>
      <c r="GV34" s="364"/>
      <c r="GW34" s="364"/>
      <c r="GX34" s="364"/>
      <c r="GY34" s="364"/>
      <c r="GZ34" s="364"/>
      <c r="HA34" s="364"/>
      <c r="HB34" s="364"/>
      <c r="HC34" s="364"/>
      <c r="HD34" s="364"/>
      <c r="HE34" s="364"/>
      <c r="HF34" s="364"/>
      <c r="HG34" s="364"/>
      <c r="HH34" s="364"/>
      <c r="HI34" s="364"/>
      <c r="HJ34" s="364"/>
      <c r="HK34" s="364"/>
      <c r="HL34" s="364"/>
      <c r="HM34" s="364"/>
      <c r="HN34" s="364"/>
      <c r="HO34" s="364"/>
      <c r="HP34" s="364"/>
      <c r="HQ34" s="364"/>
      <c r="HR34" s="364"/>
      <c r="HS34" s="364"/>
      <c r="HT34" s="364"/>
      <c r="HU34" s="364"/>
      <c r="HV34" s="364"/>
      <c r="HW34" s="364"/>
      <c r="HX34" s="364"/>
      <c r="HY34" s="364"/>
      <c r="HZ34" s="364"/>
      <c r="IA34" s="364"/>
      <c r="IB34" s="364"/>
      <c r="IC34" s="364"/>
      <c r="ID34" s="364"/>
      <c r="IE34" s="364"/>
      <c r="IF34" s="364"/>
      <c r="IG34" s="364"/>
      <c r="IH34" s="364"/>
      <c r="II34" s="364"/>
      <c r="IJ34" s="364"/>
      <c r="IK34" s="364"/>
      <c r="IL34" s="364"/>
      <c r="IM34" s="364"/>
      <c r="IN34" s="364"/>
      <c r="IO34" s="364"/>
      <c r="IP34" s="364"/>
      <c r="IQ34" s="364"/>
      <c r="IR34" s="364"/>
      <c r="IS34" s="364"/>
      <c r="IT34" s="364"/>
      <c r="IU34" s="364"/>
      <c r="IV34" s="364"/>
      <c r="IW34" s="364"/>
      <c r="IX34" s="364"/>
      <c r="IY34" s="348" t="s">
        <v>72</v>
      </c>
      <c r="IZ34" s="348"/>
      <c r="JA34" s="348"/>
      <c r="JB34" s="348"/>
      <c r="JC34" s="348"/>
      <c r="JD34" s="348"/>
      <c r="JE34" s="364"/>
    </row>
    <row r="35" spans="1:265" s="174" customFormat="1" ht="21" customHeight="1" thickBot="1">
      <c r="A35" s="455"/>
      <c r="B35" s="456" t="s">
        <v>12</v>
      </c>
      <c r="C35" s="456"/>
      <c r="D35" s="456"/>
      <c r="E35" s="457">
        <f>SUM(E5:E34)</f>
        <v>43</v>
      </c>
      <c r="F35" s="458">
        <f ca="1">SUM(F5:F34)</f>
        <v>504802.49599999998</v>
      </c>
      <c r="G35" s="458">
        <f ca="1">SUM(G5:G34)</f>
        <v>19413.699840000001</v>
      </c>
      <c r="H35" s="459">
        <f ca="1">SUM(H5:H34)</f>
        <v>485388.79615999991</v>
      </c>
      <c r="I35" s="363"/>
      <c r="J35" s="363"/>
      <c r="K35" s="363"/>
      <c r="L35" s="363"/>
      <c r="M35" s="363"/>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c r="BQ35" s="364"/>
      <c r="BR35" s="364"/>
      <c r="BS35" s="364"/>
      <c r="BT35" s="364"/>
      <c r="BU35" s="364"/>
      <c r="BV35" s="364"/>
      <c r="BW35" s="364"/>
      <c r="BX35" s="364"/>
      <c r="BY35" s="364"/>
      <c r="BZ35" s="364"/>
      <c r="CA35" s="364"/>
      <c r="CB35" s="364"/>
      <c r="CC35" s="364"/>
      <c r="CD35" s="364"/>
      <c r="CE35" s="364"/>
      <c r="CF35" s="364"/>
      <c r="CG35" s="364"/>
      <c r="CH35" s="364"/>
      <c r="CI35" s="364"/>
      <c r="CJ35" s="364"/>
      <c r="CK35" s="364"/>
      <c r="CL35" s="364"/>
      <c r="CM35" s="364"/>
      <c r="CN35" s="364"/>
      <c r="CO35" s="364"/>
      <c r="CP35" s="364"/>
      <c r="CQ35" s="364"/>
      <c r="CR35" s="364"/>
      <c r="CS35" s="364"/>
      <c r="CT35" s="364"/>
      <c r="CU35" s="364"/>
      <c r="CV35" s="364"/>
      <c r="CW35" s="364"/>
      <c r="CX35" s="364"/>
      <c r="CY35" s="364"/>
      <c r="CZ35" s="364"/>
      <c r="DA35" s="364"/>
      <c r="DB35" s="364"/>
      <c r="DC35" s="364"/>
      <c r="DD35" s="364"/>
      <c r="DE35" s="364"/>
      <c r="DF35" s="364"/>
      <c r="DG35" s="364"/>
      <c r="DH35" s="364"/>
      <c r="DI35" s="364"/>
      <c r="DJ35" s="364"/>
      <c r="DK35" s="364"/>
      <c r="DL35" s="364"/>
      <c r="DM35" s="364"/>
      <c r="DN35" s="364"/>
      <c r="DO35" s="364"/>
      <c r="DP35" s="364"/>
      <c r="DQ35" s="364"/>
      <c r="DR35" s="364"/>
      <c r="DS35" s="364"/>
      <c r="DT35" s="364"/>
      <c r="DU35" s="364"/>
      <c r="DV35" s="364"/>
      <c r="DW35" s="364"/>
      <c r="DX35" s="364"/>
      <c r="DY35" s="364"/>
      <c r="DZ35" s="364"/>
      <c r="EA35" s="364"/>
      <c r="EB35" s="364"/>
      <c r="EC35" s="364"/>
      <c r="ED35" s="364"/>
      <c r="EE35" s="364"/>
      <c r="EF35" s="364"/>
      <c r="EG35" s="364"/>
      <c r="EH35" s="364"/>
      <c r="EI35" s="364"/>
      <c r="EJ35" s="364"/>
      <c r="EK35" s="364"/>
      <c r="EL35" s="364"/>
      <c r="EM35" s="364"/>
      <c r="EN35" s="364"/>
      <c r="EO35" s="364"/>
      <c r="EP35" s="364"/>
      <c r="EQ35" s="364"/>
      <c r="ER35" s="364"/>
      <c r="ES35" s="364"/>
      <c r="ET35" s="364"/>
      <c r="EU35" s="364"/>
      <c r="EV35" s="364"/>
      <c r="EW35" s="364"/>
      <c r="EX35" s="364"/>
      <c r="EY35" s="364"/>
      <c r="EZ35" s="364"/>
      <c r="FA35" s="364"/>
      <c r="FB35" s="364"/>
      <c r="FC35" s="364"/>
      <c r="FD35" s="364"/>
      <c r="FE35" s="364"/>
      <c r="FF35" s="364"/>
      <c r="FG35" s="364"/>
      <c r="FH35" s="364"/>
      <c r="FI35" s="364"/>
      <c r="FJ35" s="364"/>
      <c r="FK35" s="364"/>
      <c r="FL35" s="364"/>
      <c r="FM35" s="364"/>
      <c r="FN35" s="364"/>
      <c r="FO35" s="364"/>
      <c r="FP35" s="364"/>
      <c r="FQ35" s="364"/>
      <c r="FR35" s="364"/>
      <c r="FS35" s="364"/>
      <c r="FT35" s="364"/>
      <c r="FU35" s="364"/>
      <c r="FV35" s="364"/>
      <c r="FW35" s="364"/>
      <c r="FX35" s="364"/>
      <c r="FY35" s="364"/>
      <c r="FZ35" s="364"/>
      <c r="GA35" s="364"/>
      <c r="GB35" s="364"/>
      <c r="GC35" s="364"/>
      <c r="GD35" s="364"/>
      <c r="GE35" s="364"/>
      <c r="GF35" s="364"/>
      <c r="GG35" s="364"/>
      <c r="GH35" s="364"/>
      <c r="GI35" s="364"/>
      <c r="GJ35" s="364"/>
      <c r="GK35" s="364"/>
      <c r="GL35" s="364"/>
      <c r="GM35" s="364"/>
      <c r="GN35" s="364"/>
      <c r="GO35" s="364"/>
      <c r="GP35" s="364"/>
      <c r="GQ35" s="364"/>
      <c r="GR35" s="364"/>
      <c r="GS35" s="364"/>
      <c r="GT35" s="364"/>
      <c r="GU35" s="364"/>
      <c r="GV35" s="364"/>
      <c r="GW35" s="364"/>
      <c r="GX35" s="364"/>
      <c r="GY35" s="364"/>
      <c r="GZ35" s="364"/>
      <c r="HA35" s="364"/>
      <c r="HB35" s="364"/>
      <c r="HC35" s="364"/>
      <c r="HD35" s="364"/>
      <c r="HE35" s="364"/>
      <c r="HF35" s="364"/>
      <c r="HG35" s="364"/>
      <c r="HH35" s="364"/>
      <c r="HI35" s="364"/>
      <c r="HJ35" s="364"/>
      <c r="HK35" s="364"/>
      <c r="HL35" s="364"/>
      <c r="HM35" s="364"/>
      <c r="HN35" s="364"/>
      <c r="HO35" s="364"/>
      <c r="HP35" s="364"/>
      <c r="HQ35" s="364"/>
      <c r="HR35" s="364"/>
      <c r="HS35" s="364"/>
      <c r="HT35" s="364"/>
      <c r="HU35" s="364"/>
      <c r="HV35" s="364"/>
      <c r="HW35" s="364"/>
      <c r="HX35" s="364"/>
      <c r="HY35" s="364"/>
      <c r="HZ35" s="364"/>
      <c r="IA35" s="364"/>
      <c r="IB35" s="364"/>
      <c r="IC35" s="364"/>
      <c r="ID35" s="364"/>
      <c r="IE35" s="364"/>
      <c r="IF35" s="364"/>
      <c r="IG35" s="364"/>
      <c r="IH35" s="364"/>
      <c r="II35" s="364"/>
      <c r="IJ35" s="364"/>
      <c r="IK35" s="364"/>
      <c r="IL35" s="364"/>
      <c r="IM35" s="364"/>
      <c r="IN35" s="364"/>
      <c r="IO35" s="364"/>
      <c r="IP35" s="364"/>
      <c r="IQ35" s="364"/>
      <c r="IR35" s="364"/>
      <c r="IS35" s="364"/>
      <c r="IT35" s="364"/>
      <c r="IU35" s="364"/>
      <c r="IV35" s="364"/>
      <c r="IW35" s="364"/>
      <c r="IX35" s="364"/>
      <c r="IY35" s="348" t="s">
        <v>90</v>
      </c>
      <c r="IZ35" s="348"/>
      <c r="JA35" s="348"/>
      <c r="JB35" s="348"/>
      <c r="JC35" s="348"/>
      <c r="JD35" s="348"/>
      <c r="JE35" s="364"/>
    </row>
    <row r="36" spans="1:265" s="174" customFormat="1" ht="13.95" customHeight="1" thickTop="1">
      <c r="A36" s="364"/>
      <c r="B36" s="366"/>
      <c r="C36" s="366"/>
      <c r="D36" s="366"/>
      <c r="E36" s="365"/>
      <c r="F36" s="365"/>
      <c r="G36" s="365"/>
      <c r="H36" s="365"/>
      <c r="I36" s="365"/>
      <c r="J36" s="364"/>
      <c r="K36" s="364"/>
      <c r="L36" s="364"/>
      <c r="M36" s="364"/>
      <c r="N36" s="364"/>
      <c r="IY36" s="348" t="s">
        <v>21</v>
      </c>
      <c r="IZ36" s="348"/>
      <c r="JA36" s="348"/>
      <c r="JB36" s="348"/>
      <c r="JC36" s="348"/>
      <c r="JD36" s="348"/>
      <c r="JE36" s="364"/>
    </row>
    <row r="37" spans="1:265" s="174" customFormat="1" ht="7.95" customHeight="1" thickBot="1">
      <c r="A37" s="364"/>
      <c r="B37" s="366"/>
      <c r="C37" s="366"/>
      <c r="D37" s="366"/>
      <c r="E37" s="365"/>
      <c r="F37" s="365"/>
      <c r="G37" s="365"/>
      <c r="H37" s="365"/>
      <c r="I37" s="365"/>
      <c r="J37" s="364"/>
      <c r="K37" s="364"/>
      <c r="L37" s="364"/>
      <c r="M37" s="364"/>
      <c r="N37" s="364"/>
      <c r="JE37" s="364"/>
    </row>
    <row r="38" spans="1:265" ht="19.95" customHeight="1">
      <c r="A38" s="367"/>
      <c r="B38" s="813" t="s">
        <v>93</v>
      </c>
      <c r="C38" s="814"/>
      <c r="D38" s="814"/>
      <c r="E38" s="814"/>
      <c r="F38" s="814"/>
      <c r="G38" s="814"/>
      <c r="H38" s="814"/>
      <c r="I38" s="814"/>
      <c r="J38" s="814"/>
      <c r="K38" s="815"/>
      <c r="L38" s="634"/>
      <c r="M38" s="367"/>
      <c r="N38" s="367"/>
      <c r="JE38" s="367"/>
    </row>
    <row r="39" spans="1:265" s="174" customFormat="1" ht="14.55" customHeight="1">
      <c r="A39" s="364"/>
      <c r="B39" s="816"/>
      <c r="C39" s="817"/>
      <c r="D39" s="817"/>
      <c r="E39" s="817"/>
      <c r="F39" s="817"/>
      <c r="G39" s="817"/>
      <c r="H39" s="817"/>
      <c r="I39" s="817"/>
      <c r="J39" s="817"/>
      <c r="K39" s="818"/>
      <c r="L39" s="634"/>
      <c r="M39" s="364"/>
      <c r="N39" s="364"/>
      <c r="JE39" s="364"/>
    </row>
    <row r="40" spans="1:265" s="201" customFormat="1" ht="33.6" customHeight="1" thickBot="1">
      <c r="A40" s="368"/>
      <c r="B40" s="462" t="s">
        <v>41</v>
      </c>
      <c r="C40" s="463" t="s">
        <v>13</v>
      </c>
      <c r="D40" s="463" t="s">
        <v>35</v>
      </c>
      <c r="E40" s="464" t="s">
        <v>33</v>
      </c>
      <c r="F40" s="464" t="s">
        <v>15</v>
      </c>
      <c r="G40" s="464" t="s">
        <v>34</v>
      </c>
      <c r="H40" s="463" t="s">
        <v>32</v>
      </c>
      <c r="I40" s="463" t="s">
        <v>30</v>
      </c>
      <c r="J40" s="463" t="s">
        <v>76</v>
      </c>
      <c r="K40" s="465" t="s">
        <v>77</v>
      </c>
      <c r="L40" s="634"/>
      <c r="M40" s="368"/>
      <c r="N40" s="368"/>
      <c r="JE40" s="368"/>
    </row>
    <row r="41" spans="1:265" ht="19.95" customHeight="1">
      <c r="A41" s="367"/>
      <c r="B41" s="466" t="s">
        <v>23</v>
      </c>
      <c r="C41" s="467" t="s">
        <v>153</v>
      </c>
      <c r="D41" s="468" t="s">
        <v>70</v>
      </c>
      <c r="E41" s="469">
        <f t="shared" ref="E41:E53" ca="1" si="4">SUM(G77)</f>
        <v>8206.32</v>
      </c>
      <c r="F41" s="460">
        <v>0</v>
      </c>
      <c r="G41" s="470">
        <f ca="1">SUM(E41-F41)</f>
        <v>8206.32</v>
      </c>
      <c r="H41" s="471">
        <v>0</v>
      </c>
      <c r="I41" s="472">
        <f ca="1">SUM(G41-H41)</f>
        <v>8206.32</v>
      </c>
      <c r="J41" s="473" t="s">
        <v>88</v>
      </c>
      <c r="K41" s="474" t="s">
        <v>81</v>
      </c>
      <c r="L41" s="635"/>
      <c r="M41" s="367"/>
      <c r="N41" s="367"/>
      <c r="JE41" s="367"/>
    </row>
    <row r="42" spans="1:265" ht="19.95" customHeight="1">
      <c r="A42" s="367"/>
      <c r="B42" s="475"/>
      <c r="C42" s="329" t="s">
        <v>153</v>
      </c>
      <c r="D42" s="197" t="s">
        <v>71</v>
      </c>
      <c r="E42" s="222">
        <f t="shared" ca="1" si="4"/>
        <v>0</v>
      </c>
      <c r="F42" s="223"/>
      <c r="G42" s="224">
        <f ca="1">SUM(E42-F42)</f>
        <v>0</v>
      </c>
      <c r="H42" s="198">
        <v>0</v>
      </c>
      <c r="I42" s="476">
        <f ca="1">SUM(G42-H42)</f>
        <v>0</v>
      </c>
      <c r="J42" s="199" t="s">
        <v>88</v>
      </c>
      <c r="K42" s="477" t="s">
        <v>82</v>
      </c>
      <c r="L42" s="635"/>
      <c r="M42" s="367"/>
      <c r="N42" s="367"/>
      <c r="JE42" s="367"/>
    </row>
    <row r="43" spans="1:265" ht="19.95" customHeight="1">
      <c r="A43" s="367"/>
      <c r="B43" s="475"/>
      <c r="C43" s="329" t="s">
        <v>153</v>
      </c>
      <c r="D43" s="197" t="s">
        <v>73</v>
      </c>
      <c r="E43" s="228">
        <f t="shared" ca="1" si="4"/>
        <v>29791.007999999998</v>
      </c>
      <c r="F43" s="224">
        <v>0</v>
      </c>
      <c r="G43" s="224">
        <f ca="1">SUM(E43-F43)</f>
        <v>29791.007999999998</v>
      </c>
      <c r="H43" s="194">
        <v>0</v>
      </c>
      <c r="I43" s="476">
        <f ca="1">SUM(G43-H43)</f>
        <v>29791.007999999998</v>
      </c>
      <c r="J43" s="199" t="s">
        <v>88</v>
      </c>
      <c r="K43" s="477" t="s">
        <v>84</v>
      </c>
      <c r="L43" s="635"/>
      <c r="M43" s="367"/>
      <c r="N43" s="367"/>
      <c r="JE43" s="367"/>
    </row>
    <row r="44" spans="1:265" ht="19.95" customHeight="1">
      <c r="A44" s="367"/>
      <c r="B44" s="475"/>
      <c r="C44" s="347" t="s">
        <v>17</v>
      </c>
      <c r="D44" s="197" t="s">
        <v>74</v>
      </c>
      <c r="E44" s="228">
        <f t="shared" ca="1" si="4"/>
        <v>57485.447999999997</v>
      </c>
      <c r="F44" s="224">
        <v>0</v>
      </c>
      <c r="G44" s="224">
        <f t="shared" ref="G44:G50" ca="1" si="5">SUM(E44-F44)</f>
        <v>57485.447999999997</v>
      </c>
      <c r="H44" s="194">
        <v>0</v>
      </c>
      <c r="I44" s="476">
        <f t="shared" ref="I44:I50" ca="1" si="6">SUM(G44-H44)</f>
        <v>57485.447999999997</v>
      </c>
      <c r="J44" s="199" t="s">
        <v>88</v>
      </c>
      <c r="K44" s="478" t="s">
        <v>159</v>
      </c>
      <c r="L44" s="635"/>
      <c r="M44" s="367"/>
      <c r="N44" s="367"/>
      <c r="JE44" s="367"/>
    </row>
    <row r="45" spans="1:265" ht="20.399999999999999" customHeight="1">
      <c r="A45" s="367"/>
      <c r="B45" s="475"/>
      <c r="C45" s="347" t="s">
        <v>17</v>
      </c>
      <c r="D45" s="197" t="s">
        <v>75</v>
      </c>
      <c r="E45" s="228">
        <f t="shared" ca="1" si="4"/>
        <v>224895.24</v>
      </c>
      <c r="F45" s="224">
        <v>0</v>
      </c>
      <c r="G45" s="224">
        <f t="shared" ca="1" si="5"/>
        <v>224895.24</v>
      </c>
      <c r="H45" s="194">
        <v>0</v>
      </c>
      <c r="I45" s="476">
        <f t="shared" ca="1" si="6"/>
        <v>224895.24</v>
      </c>
      <c r="J45" s="199" t="s">
        <v>88</v>
      </c>
      <c r="K45" s="478" t="s">
        <v>160</v>
      </c>
      <c r="L45" s="635"/>
      <c r="M45" s="367"/>
      <c r="N45" s="367"/>
      <c r="JE45" s="367"/>
    </row>
    <row r="46" spans="1:265" ht="19.95" customHeight="1">
      <c r="A46" s="367"/>
      <c r="B46" s="475"/>
      <c r="C46" s="347" t="s">
        <v>17</v>
      </c>
      <c r="D46" s="197" t="s">
        <v>152</v>
      </c>
      <c r="E46" s="228">
        <f t="shared" ca="1" si="4"/>
        <v>0</v>
      </c>
      <c r="F46" s="224">
        <v>0</v>
      </c>
      <c r="G46" s="224">
        <f t="shared" ca="1" si="5"/>
        <v>0</v>
      </c>
      <c r="H46" s="194">
        <v>0</v>
      </c>
      <c r="I46" s="476">
        <f t="shared" ca="1" si="6"/>
        <v>0</v>
      </c>
      <c r="J46" s="199" t="s">
        <v>88</v>
      </c>
      <c r="K46" s="478" t="s">
        <v>161</v>
      </c>
      <c r="L46" s="635"/>
      <c r="M46" s="367"/>
      <c r="N46" s="367"/>
      <c r="JE46" s="367"/>
    </row>
    <row r="47" spans="1:265" ht="19.95" customHeight="1">
      <c r="A47" s="367"/>
      <c r="B47" s="475"/>
      <c r="C47" s="347" t="s">
        <v>17</v>
      </c>
      <c r="D47" s="197" t="s">
        <v>130</v>
      </c>
      <c r="E47" s="228">
        <f t="shared" ca="1" si="4"/>
        <v>20644.3488</v>
      </c>
      <c r="F47" s="224">
        <v>0</v>
      </c>
      <c r="G47" s="224">
        <f t="shared" ca="1" si="5"/>
        <v>20644.3488</v>
      </c>
      <c r="H47" s="194">
        <v>0</v>
      </c>
      <c r="I47" s="476">
        <f t="shared" ca="1" si="6"/>
        <v>20644.3488</v>
      </c>
      <c r="J47" s="199" t="s">
        <v>88</v>
      </c>
      <c r="K47" s="478" t="s">
        <v>131</v>
      </c>
      <c r="L47" s="635"/>
      <c r="M47" s="367"/>
      <c r="N47" s="367"/>
      <c r="JE47" s="367"/>
    </row>
    <row r="48" spans="1:265" ht="19.95" customHeight="1">
      <c r="A48" s="367"/>
      <c r="B48" s="475"/>
      <c r="C48" s="347" t="s">
        <v>17</v>
      </c>
      <c r="D48" s="197" t="s">
        <v>151</v>
      </c>
      <c r="E48" s="228">
        <f t="shared" ca="1" si="4"/>
        <v>11247.052319999999</v>
      </c>
      <c r="F48" s="224">
        <v>0</v>
      </c>
      <c r="G48" s="224">
        <f t="shared" ca="1" si="5"/>
        <v>11247.052319999999</v>
      </c>
      <c r="H48" s="194">
        <v>0</v>
      </c>
      <c r="I48" s="476">
        <f t="shared" ca="1" si="6"/>
        <v>11247.052319999999</v>
      </c>
      <c r="J48" s="199" t="s">
        <v>88</v>
      </c>
      <c r="K48" s="478" t="s">
        <v>162</v>
      </c>
      <c r="L48" s="635"/>
      <c r="M48" s="367"/>
      <c r="N48" s="367"/>
      <c r="JE48" s="367"/>
    </row>
    <row r="49" spans="1:265" ht="19.95" customHeight="1">
      <c r="A49" s="367"/>
      <c r="B49" s="475"/>
      <c r="C49" s="329" t="s">
        <v>78</v>
      </c>
      <c r="D49" s="197" t="s">
        <v>72</v>
      </c>
      <c r="E49" s="228">
        <f t="shared" ca="1" si="4"/>
        <v>0</v>
      </c>
      <c r="F49" s="224">
        <v>0</v>
      </c>
      <c r="G49" s="224">
        <f t="shared" ca="1" si="5"/>
        <v>0</v>
      </c>
      <c r="H49" s="194">
        <v>0</v>
      </c>
      <c r="I49" s="476">
        <f t="shared" ca="1" si="6"/>
        <v>0</v>
      </c>
      <c r="J49" s="199" t="s">
        <v>88</v>
      </c>
      <c r="K49" s="477" t="s">
        <v>83</v>
      </c>
      <c r="L49" s="635"/>
      <c r="M49" s="367"/>
      <c r="N49" s="367"/>
      <c r="JE49" s="367"/>
    </row>
    <row r="50" spans="1:265" ht="19.95" customHeight="1" thickBot="1">
      <c r="A50" s="367"/>
      <c r="B50" s="475"/>
      <c r="C50" s="329" t="s">
        <v>78</v>
      </c>
      <c r="D50" s="197" t="s">
        <v>67</v>
      </c>
      <c r="E50" s="228">
        <f t="shared" ca="1" si="4"/>
        <v>11772.179999999998</v>
      </c>
      <c r="F50" s="224">
        <v>0</v>
      </c>
      <c r="G50" s="224">
        <f t="shared" ca="1" si="5"/>
        <v>11772.179999999998</v>
      </c>
      <c r="H50" s="194">
        <v>0</v>
      </c>
      <c r="I50" s="476">
        <f t="shared" ca="1" si="6"/>
        <v>11772.179999999998</v>
      </c>
      <c r="J50" s="199" t="s">
        <v>88</v>
      </c>
      <c r="K50" s="477" t="s">
        <v>85</v>
      </c>
      <c r="L50" s="635"/>
      <c r="M50" s="367"/>
      <c r="N50" s="367"/>
      <c r="JE50" s="367"/>
    </row>
    <row r="51" spans="1:265" ht="19.95" customHeight="1">
      <c r="A51" s="367"/>
      <c r="B51" s="479" t="s">
        <v>24</v>
      </c>
      <c r="C51" s="480" t="s">
        <v>285</v>
      </c>
      <c r="D51" s="468" t="s">
        <v>97</v>
      </c>
      <c r="E51" s="469">
        <f t="shared" ca="1" si="4"/>
        <v>24269.439807999996</v>
      </c>
      <c r="F51" s="470">
        <v>0</v>
      </c>
      <c r="G51" s="470">
        <f ca="1">SUM(E51-F51)</f>
        <v>24269.439807999996</v>
      </c>
      <c r="H51" s="481">
        <v>0</v>
      </c>
      <c r="I51" s="472">
        <f ca="1">SUM(G51-H51)</f>
        <v>24269.439807999996</v>
      </c>
      <c r="J51" s="473" t="s">
        <v>88</v>
      </c>
      <c r="K51" s="482" t="s">
        <v>98</v>
      </c>
      <c r="L51" s="636"/>
      <c r="M51" s="367"/>
      <c r="N51" s="367"/>
      <c r="JE51" s="367"/>
    </row>
    <row r="52" spans="1:265" ht="19.95" customHeight="1">
      <c r="A52" s="367"/>
      <c r="B52" s="483" t="s">
        <v>286</v>
      </c>
      <c r="C52" s="193" t="s">
        <v>153</v>
      </c>
      <c r="D52" s="197" t="s">
        <v>70</v>
      </c>
      <c r="E52" s="222">
        <f t="shared" ca="1" si="4"/>
        <v>48538.879615999991</v>
      </c>
      <c r="F52" s="224">
        <v>0</v>
      </c>
      <c r="G52" s="224">
        <f ca="1">SUM(E52-F52)</f>
        <v>48538.879615999991</v>
      </c>
      <c r="H52" s="194">
        <v>0</v>
      </c>
      <c r="I52" s="476">
        <f ca="1">SUM(G52-H52)</f>
        <v>48538.879615999991</v>
      </c>
      <c r="J52" s="199" t="s">
        <v>88</v>
      </c>
      <c r="K52" s="484" t="s">
        <v>81</v>
      </c>
      <c r="L52" s="636"/>
      <c r="M52" s="367"/>
      <c r="N52" s="367"/>
      <c r="JE52" s="367"/>
    </row>
    <row r="53" spans="1:265" ht="19.95" customHeight="1">
      <c r="A53" s="367"/>
      <c r="B53" s="485" t="s">
        <v>287</v>
      </c>
      <c r="C53" s="486" t="s">
        <v>285</v>
      </c>
      <c r="D53" s="776" t="s">
        <v>97</v>
      </c>
      <c r="E53" s="487">
        <f t="shared" ca="1" si="4"/>
        <v>48538.879615999991</v>
      </c>
      <c r="F53" s="488">
        <v>0</v>
      </c>
      <c r="G53" s="488">
        <f ca="1">SUM(E53-F53)</f>
        <v>48538.879615999991</v>
      </c>
      <c r="H53" s="489">
        <v>0</v>
      </c>
      <c r="I53" s="490">
        <f ca="1">SUM(G53-H53)</f>
        <v>48538.879615999991</v>
      </c>
      <c r="J53" s="491" t="s">
        <v>88</v>
      </c>
      <c r="K53" s="492" t="s">
        <v>98</v>
      </c>
      <c r="L53" s="636"/>
      <c r="M53" s="380"/>
      <c r="N53" s="367"/>
      <c r="JE53" s="367"/>
    </row>
    <row r="54" spans="1:265" s="183" customFormat="1" ht="19.95" customHeight="1" thickBot="1">
      <c r="A54" s="369"/>
      <c r="B54" s="495"/>
      <c r="C54" s="496"/>
      <c r="D54" s="497"/>
      <c r="E54" s="498">
        <f ca="1">SUM(E41:E53)</f>
        <v>485388.79615999991</v>
      </c>
      <c r="F54" s="499"/>
      <c r="G54" s="493">
        <f ca="1">SUM(G41:G53)</f>
        <v>485388.79615999991</v>
      </c>
      <c r="H54" s="500"/>
      <c r="I54" s="494">
        <f ca="1">SUM(I41:I53)</f>
        <v>485388.79615999991</v>
      </c>
      <c r="J54" s="501"/>
      <c r="K54" s="502"/>
      <c r="L54" s="637"/>
      <c r="M54" s="369"/>
      <c r="N54" s="369"/>
      <c r="JE54" s="369"/>
    </row>
    <row r="55" spans="1:265" ht="16.2" thickTop="1">
      <c r="A55" s="367"/>
      <c r="B55" s="370"/>
      <c r="C55" s="370"/>
      <c r="D55" s="371"/>
      <c r="E55" s="372"/>
      <c r="F55" s="373"/>
      <c r="G55" s="373"/>
      <c r="H55" s="186"/>
      <c r="I55" s="367"/>
      <c r="J55" s="367"/>
      <c r="K55" s="367"/>
      <c r="L55" s="367"/>
      <c r="M55" s="367"/>
      <c r="N55" s="367"/>
      <c r="JE55" s="367"/>
    </row>
    <row r="56" spans="1:265" ht="15.6">
      <c r="A56" s="367"/>
      <c r="B56" s="370"/>
      <c r="C56" s="370"/>
      <c r="D56" s="371"/>
      <c r="E56" s="372"/>
      <c r="F56" s="373"/>
      <c r="G56" s="373"/>
      <c r="H56" s="373"/>
      <c r="I56" s="373"/>
      <c r="J56" s="367"/>
      <c r="K56" s="367"/>
      <c r="L56" s="367"/>
      <c r="M56" s="367"/>
      <c r="N56" s="367"/>
      <c r="JE56" s="367"/>
    </row>
    <row r="57" spans="1:265" s="174" customFormat="1" ht="14.55" customHeight="1">
      <c r="A57" s="364"/>
      <c r="B57" s="364"/>
      <c r="C57" s="364"/>
      <c r="D57" s="364"/>
      <c r="E57" s="374"/>
      <c r="F57" s="374"/>
      <c r="G57" s="374"/>
      <c r="H57" s="374"/>
      <c r="I57" s="367"/>
      <c r="J57" s="367"/>
      <c r="K57" s="367"/>
      <c r="L57" s="367"/>
      <c r="M57" s="367"/>
      <c r="N57" s="367"/>
      <c r="JE57" s="364"/>
    </row>
    <row r="58" spans="1:265" ht="13.8">
      <c r="A58" s="367"/>
      <c r="B58" s="367"/>
      <c r="C58" s="367"/>
      <c r="D58" s="367"/>
      <c r="E58" s="186"/>
      <c r="F58" s="186"/>
      <c r="G58" s="186"/>
      <c r="H58" s="186"/>
      <c r="I58" s="367"/>
      <c r="J58" s="367"/>
      <c r="K58" s="367"/>
      <c r="L58" s="367"/>
      <c r="M58" s="367"/>
      <c r="N58" s="367"/>
      <c r="JE58" s="367"/>
    </row>
    <row r="59" spans="1:265" ht="17.399999999999999">
      <c r="A59" s="367"/>
      <c r="B59" s="367"/>
      <c r="C59" s="746" t="s">
        <v>296</v>
      </c>
      <c r="D59" s="746" t="s">
        <v>293</v>
      </c>
      <c r="E59" s="186"/>
      <c r="F59" s="186"/>
      <c r="G59" s="186"/>
      <c r="H59" s="186"/>
      <c r="I59" s="367"/>
      <c r="J59" s="367"/>
      <c r="K59" s="367"/>
      <c r="L59" s="367"/>
      <c r="M59" s="367"/>
      <c r="N59" s="367"/>
      <c r="JE59" s="367"/>
    </row>
    <row r="60" spans="1:265" ht="13.8">
      <c r="A60" s="367"/>
      <c r="B60" s="367"/>
      <c r="C60" s="367"/>
      <c r="D60" s="367"/>
      <c r="E60" s="186"/>
      <c r="F60" s="186"/>
      <c r="G60" s="186"/>
      <c r="H60" s="186"/>
      <c r="I60" s="367"/>
      <c r="J60" s="367"/>
      <c r="K60" s="367"/>
      <c r="L60" s="367"/>
      <c r="M60" s="367"/>
      <c r="N60" s="367"/>
      <c r="JE60" s="367"/>
    </row>
    <row r="61" spans="1:265" ht="13.8">
      <c r="A61" s="367"/>
      <c r="B61" s="367"/>
      <c r="C61" s="367"/>
      <c r="D61" s="367"/>
      <c r="E61" s="186"/>
      <c r="F61" s="186"/>
      <c r="G61" s="186"/>
      <c r="H61" s="186"/>
      <c r="I61" s="367"/>
      <c r="J61" s="367"/>
      <c r="K61" s="367"/>
      <c r="L61" s="367"/>
      <c r="M61" s="367"/>
      <c r="N61" s="367"/>
      <c r="JE61" s="367"/>
    </row>
    <row r="62" spans="1:265" ht="13.8">
      <c r="A62" s="367"/>
      <c r="B62" s="367"/>
      <c r="C62" s="367"/>
      <c r="D62" s="367"/>
      <c r="E62" s="186"/>
      <c r="F62" s="186"/>
      <c r="G62" s="186"/>
      <c r="H62" s="186"/>
      <c r="I62" s="367"/>
      <c r="J62" s="367"/>
      <c r="K62" s="367"/>
      <c r="L62" s="367"/>
      <c r="M62" s="367"/>
      <c r="N62" s="367"/>
      <c r="JE62" s="367"/>
    </row>
    <row r="63" spans="1:265" ht="13.8">
      <c r="A63" s="367"/>
      <c r="B63" s="367"/>
      <c r="C63" s="367"/>
      <c r="D63" s="367"/>
      <c r="E63" s="186"/>
      <c r="F63" s="186"/>
      <c r="G63" s="186"/>
      <c r="H63" s="186"/>
      <c r="I63" s="367"/>
      <c r="J63" s="367"/>
      <c r="K63" s="367"/>
      <c r="L63" s="367"/>
      <c r="M63" s="367"/>
      <c r="N63" s="367"/>
      <c r="JE63" s="367"/>
    </row>
    <row r="64" spans="1:265" ht="13.8">
      <c r="A64" s="367"/>
      <c r="B64" s="367"/>
      <c r="C64" s="367"/>
      <c r="D64" s="367"/>
      <c r="E64" s="186"/>
      <c r="F64" s="186"/>
      <c r="G64" s="186"/>
      <c r="H64" s="186"/>
      <c r="I64" s="367"/>
      <c r="J64" s="367"/>
      <c r="K64" s="367"/>
      <c r="L64" s="367"/>
      <c r="M64" s="367"/>
      <c r="N64" s="367"/>
      <c r="JE64" s="367"/>
    </row>
    <row r="65" spans="1:265" ht="13.8">
      <c r="A65" s="367"/>
      <c r="B65" s="367"/>
      <c r="C65" s="367"/>
      <c r="D65" s="367"/>
      <c r="E65" s="186"/>
      <c r="F65" s="186"/>
      <c r="G65" s="186"/>
      <c r="H65" s="186"/>
      <c r="I65" s="367"/>
      <c r="J65" s="367"/>
      <c r="K65" s="367"/>
      <c r="L65" s="367"/>
      <c r="M65" s="367"/>
      <c r="N65" s="367"/>
      <c r="JE65" s="367"/>
    </row>
    <row r="66" spans="1:265" ht="13.8">
      <c r="A66" s="367"/>
      <c r="B66" s="367"/>
      <c r="C66" s="367"/>
      <c r="D66" s="367"/>
      <c r="E66" s="186"/>
      <c r="F66" s="186"/>
      <c r="G66" s="186"/>
      <c r="H66" s="186"/>
      <c r="I66" s="367"/>
      <c r="J66" s="367"/>
      <c r="K66" s="367"/>
      <c r="L66" s="367"/>
      <c r="M66" s="367"/>
      <c r="N66" s="367"/>
      <c r="JE66" s="367"/>
    </row>
    <row r="67" spans="1:265" ht="13.8">
      <c r="A67" s="367"/>
      <c r="B67" s="367"/>
      <c r="C67" s="367"/>
      <c r="D67" s="367"/>
      <c r="E67" s="186"/>
      <c r="F67" s="186"/>
      <c r="G67" s="186"/>
      <c r="H67" s="186"/>
      <c r="I67" s="367"/>
      <c r="J67" s="367"/>
      <c r="K67" s="367"/>
      <c r="L67" s="367"/>
      <c r="M67" s="367"/>
      <c r="N67" s="367"/>
      <c r="JE67" s="367"/>
    </row>
    <row r="68" spans="1:265" ht="13.8">
      <c r="A68" s="367"/>
      <c r="B68" s="367"/>
      <c r="C68" s="367"/>
      <c r="D68" s="367"/>
      <c r="E68" s="186"/>
      <c r="F68" s="186"/>
      <c r="G68" s="186"/>
      <c r="H68" s="186"/>
      <c r="I68" s="367"/>
      <c r="J68" s="367"/>
      <c r="K68" s="367"/>
      <c r="L68" s="367"/>
      <c r="M68" s="367"/>
      <c r="N68" s="367"/>
      <c r="JE68" s="367"/>
    </row>
    <row r="69" spans="1:265" ht="13.8">
      <c r="A69" s="367"/>
      <c r="B69" s="367"/>
      <c r="C69" s="367"/>
      <c r="D69" s="367"/>
      <c r="E69" s="186"/>
      <c r="F69" s="186"/>
      <c r="G69" s="186"/>
      <c r="H69" s="186"/>
      <c r="I69" s="367"/>
      <c r="J69" s="367"/>
      <c r="K69" s="367"/>
      <c r="L69" s="367"/>
      <c r="M69" s="367"/>
      <c r="N69" s="367"/>
      <c r="JE69" s="367"/>
    </row>
    <row r="70" spans="1:265" ht="13.8">
      <c r="A70" s="367"/>
      <c r="B70" s="367"/>
      <c r="C70" s="367"/>
      <c r="D70" s="367"/>
      <c r="E70" s="186"/>
      <c r="F70" s="186"/>
      <c r="G70" s="186"/>
      <c r="H70" s="186"/>
      <c r="I70" s="367"/>
      <c r="J70" s="367"/>
      <c r="K70" s="367"/>
      <c r="L70" s="367"/>
      <c r="M70" s="367"/>
      <c r="N70" s="367"/>
      <c r="JE70" s="367"/>
    </row>
    <row r="71" spans="1:265" ht="13.8">
      <c r="A71" s="367"/>
      <c r="B71" s="367"/>
      <c r="C71" s="367"/>
      <c r="D71" s="367"/>
      <c r="E71" s="186"/>
      <c r="F71" s="186"/>
      <c r="G71" s="186"/>
      <c r="H71" s="186"/>
      <c r="I71" s="367"/>
      <c r="J71" s="367"/>
      <c r="K71" s="367"/>
      <c r="L71" s="367"/>
      <c r="M71" s="367"/>
      <c r="N71" s="367"/>
      <c r="JE71" s="367"/>
    </row>
    <row r="72" spans="1:265" ht="13.8">
      <c r="A72" s="367"/>
      <c r="B72" s="367"/>
      <c r="C72" s="367"/>
      <c r="D72" s="367"/>
      <c r="E72" s="186"/>
      <c r="F72" s="186"/>
      <c r="G72" s="186"/>
      <c r="H72" s="186"/>
      <c r="I72" s="367"/>
      <c r="J72" s="367"/>
      <c r="K72" s="367"/>
      <c r="L72" s="367"/>
      <c r="M72" s="367"/>
      <c r="N72" s="367"/>
      <c r="JE72" s="367"/>
    </row>
    <row r="73" spans="1:265" ht="13.8">
      <c r="A73" s="367"/>
      <c r="B73" s="367"/>
      <c r="C73" s="367"/>
      <c r="D73" s="367"/>
      <c r="E73" s="186"/>
      <c r="F73" s="186"/>
      <c r="G73" s="186"/>
      <c r="H73" s="186"/>
      <c r="I73" s="367"/>
      <c r="J73" s="367"/>
      <c r="K73" s="367"/>
      <c r="L73" s="367"/>
      <c r="M73" s="367"/>
      <c r="N73" s="367"/>
      <c r="JE73" s="367"/>
    </row>
    <row r="74" spans="1:265" ht="13.95" customHeight="1" thickBot="1">
      <c r="A74" s="367"/>
      <c r="B74" s="367"/>
      <c r="C74" s="367"/>
      <c r="D74" s="367"/>
      <c r="E74" s="186"/>
      <c r="F74" s="186"/>
      <c r="G74" s="186"/>
      <c r="H74" s="186"/>
      <c r="I74" s="367"/>
      <c r="J74" s="367"/>
      <c r="K74" s="367"/>
      <c r="L74" s="367"/>
      <c r="M74" s="367"/>
      <c r="N74" s="367"/>
      <c r="JE74" s="367"/>
    </row>
    <row r="75" spans="1:265" ht="19.95" customHeight="1">
      <c r="A75" s="367"/>
      <c r="B75" s="518" t="s">
        <v>80</v>
      </c>
      <c r="C75" s="519"/>
      <c r="D75" s="519"/>
      <c r="E75" s="519"/>
      <c r="F75" s="519"/>
      <c r="G75" s="520"/>
      <c r="H75" s="375"/>
      <c r="I75" s="376" t="s">
        <v>157</v>
      </c>
      <c r="J75" s="367"/>
      <c r="K75" s="367"/>
      <c r="L75" s="367"/>
      <c r="M75" s="367"/>
      <c r="N75" s="367"/>
      <c r="JE75" s="367"/>
    </row>
    <row r="76" spans="1:265" ht="22.2" customHeight="1" thickBot="1">
      <c r="A76" s="367"/>
      <c r="B76" s="521" t="s">
        <v>41</v>
      </c>
      <c r="C76" s="522" t="s">
        <v>13</v>
      </c>
      <c r="D76" s="522" t="s">
        <v>14</v>
      </c>
      <c r="E76" s="523" t="s">
        <v>22</v>
      </c>
      <c r="F76" s="523" t="s">
        <v>15</v>
      </c>
      <c r="G76" s="524" t="s">
        <v>16</v>
      </c>
      <c r="H76" s="375"/>
      <c r="I76" s="375"/>
      <c r="J76" s="367"/>
      <c r="K76" s="367"/>
      <c r="L76" s="367"/>
      <c r="M76" s="367"/>
      <c r="N76" s="367"/>
      <c r="JE76" s="367"/>
    </row>
    <row r="77" spans="1:265" ht="22.2" customHeight="1">
      <c r="A77" s="367"/>
      <c r="B77" s="515" t="s">
        <v>23</v>
      </c>
      <c r="C77" s="516" t="s">
        <v>153</v>
      </c>
      <c r="D77" s="505" t="s">
        <v>70</v>
      </c>
      <c r="E77" s="504">
        <v>0.75</v>
      </c>
      <c r="F77" s="506">
        <v>0</v>
      </c>
      <c r="G77" s="507">
        <f ca="1">SUMIF($C4:$C35,"คุณนิมิต จุ้ยอยู่ทอง",$H4:$H35)*E77</f>
        <v>8206.32</v>
      </c>
      <c r="H77" s="377"/>
      <c r="I77" s="375"/>
      <c r="J77" s="367"/>
      <c r="K77" s="367"/>
      <c r="L77" s="367"/>
      <c r="M77" s="367"/>
      <c r="N77" s="367"/>
      <c r="JE77" s="367"/>
    </row>
    <row r="78" spans="1:265" ht="22.2" customHeight="1">
      <c r="A78" s="367"/>
      <c r="B78" s="517"/>
      <c r="C78" s="514" t="s">
        <v>153</v>
      </c>
      <c r="D78" s="378" t="s">
        <v>71</v>
      </c>
      <c r="E78" s="379">
        <v>0.75</v>
      </c>
      <c r="F78" s="508">
        <v>0</v>
      </c>
      <c r="G78" s="509">
        <f ca="1">SUMIF($C5:$C36,"คุณธวัช มีแสง",$H5:$H36)*E78</f>
        <v>0</v>
      </c>
      <c r="H78" s="377"/>
      <c r="I78" s="375"/>
      <c r="J78" s="367"/>
      <c r="K78" s="367"/>
      <c r="L78" s="367"/>
      <c r="M78" s="367"/>
      <c r="N78" s="367"/>
      <c r="JE78" s="367"/>
    </row>
    <row r="79" spans="1:265" ht="22.2" customHeight="1">
      <c r="A79" s="367"/>
      <c r="B79" s="517"/>
      <c r="C79" s="514" t="s">
        <v>153</v>
      </c>
      <c r="D79" s="378" t="s">
        <v>73</v>
      </c>
      <c r="E79" s="379">
        <v>0.75</v>
      </c>
      <c r="F79" s="508">
        <v>0</v>
      </c>
      <c r="G79" s="509">
        <f ca="1">SUMIF($C5:$C35,"คุณนิยนต์ อยู่ทะเล",$H5:$H35)*E79</f>
        <v>29791.007999999998</v>
      </c>
      <c r="H79" s="377"/>
      <c r="I79" s="375"/>
      <c r="J79" s="367"/>
      <c r="K79" s="367"/>
      <c r="L79" s="367"/>
      <c r="M79" s="367"/>
      <c r="N79" s="367"/>
      <c r="JE79" s="367"/>
    </row>
    <row r="80" spans="1:265" ht="22.2" customHeight="1">
      <c r="A80" s="367"/>
      <c r="B80" s="517"/>
      <c r="C80" s="514" t="s">
        <v>17</v>
      </c>
      <c r="D80" s="378" t="s">
        <v>74</v>
      </c>
      <c r="E80" s="379">
        <v>0.75</v>
      </c>
      <c r="F80" s="508">
        <v>0</v>
      </c>
      <c r="G80" s="509">
        <f ca="1">SUMIF($C5:$C35,"คุณจินตนา อ้อยหวาน",$H5:$H35)*E80</f>
        <v>57485.447999999997</v>
      </c>
      <c r="H80" s="377"/>
      <c r="I80" s="375"/>
      <c r="J80" s="367"/>
      <c r="K80" s="367"/>
      <c r="L80" s="367"/>
      <c r="M80" s="367"/>
      <c r="N80" s="367"/>
      <c r="JE80" s="367"/>
    </row>
    <row r="81" spans="1:265" ht="22.2" customHeight="1">
      <c r="A81" s="367"/>
      <c r="B81" s="517"/>
      <c r="C81" s="514" t="s">
        <v>17</v>
      </c>
      <c r="D81" s="378" t="s">
        <v>75</v>
      </c>
      <c r="E81" s="379">
        <v>0.75</v>
      </c>
      <c r="F81" s="508">
        <v>0</v>
      </c>
      <c r="G81" s="509">
        <f ca="1">SUMIF($C5:$C35,"คุณพัชรพรรณ พึ่งพา",$H5:$H35)*E81</f>
        <v>224895.24</v>
      </c>
      <c r="H81" s="377"/>
      <c r="I81" s="375"/>
      <c r="J81" s="367"/>
      <c r="K81" s="367"/>
      <c r="L81" s="367"/>
      <c r="M81" s="367"/>
      <c r="N81" s="367"/>
      <c r="JE81" s="367"/>
    </row>
    <row r="82" spans="1:265" ht="22.2" customHeight="1">
      <c r="A82" s="367"/>
      <c r="B82" s="517"/>
      <c r="C82" s="514" t="s">
        <v>17</v>
      </c>
      <c r="D82" s="378" t="s">
        <v>152</v>
      </c>
      <c r="E82" s="379">
        <v>0.75</v>
      </c>
      <c r="F82" s="508">
        <v>0</v>
      </c>
      <c r="G82" s="509">
        <f ca="1">SUMIF($C5:$C37,"คุณนรินทร์ ปิงมูล",$H5:$H40)*E82</f>
        <v>0</v>
      </c>
      <c r="H82" s="377"/>
      <c r="I82" s="375"/>
      <c r="J82" s="367"/>
      <c r="K82" s="367"/>
      <c r="L82" s="367"/>
      <c r="M82" s="367"/>
      <c r="N82" s="367"/>
      <c r="P82" s="346" t="s">
        <v>158</v>
      </c>
      <c r="JE82" s="367"/>
    </row>
    <row r="83" spans="1:265" ht="22.2" customHeight="1">
      <c r="A83" s="367"/>
      <c r="B83" s="517"/>
      <c r="C83" s="514" t="s">
        <v>17</v>
      </c>
      <c r="D83" s="378" t="s">
        <v>130</v>
      </c>
      <c r="E83" s="379">
        <v>0.75</v>
      </c>
      <c r="F83" s="508">
        <v>0</v>
      </c>
      <c r="G83" s="509">
        <f ca="1">SUMIF($C5:$C35,"คุณชนัฐฎา สนคะมี",$H5:$H35)*E83</f>
        <v>20644.3488</v>
      </c>
      <c r="H83" s="377"/>
      <c r="I83" s="375"/>
      <c r="J83" s="367"/>
      <c r="K83" s="367"/>
      <c r="L83" s="367"/>
      <c r="M83" s="367"/>
      <c r="N83" s="367"/>
      <c r="JE83" s="367"/>
    </row>
    <row r="84" spans="1:265" ht="22.2" customHeight="1">
      <c r="A84" s="367"/>
      <c r="B84" s="517"/>
      <c r="C84" s="514" t="s">
        <v>17</v>
      </c>
      <c r="D84" s="378" t="s">
        <v>151</v>
      </c>
      <c r="E84" s="379">
        <v>0.75</v>
      </c>
      <c r="F84" s="508">
        <v>0</v>
      </c>
      <c r="G84" s="509">
        <f ca="1">SUMIF($C6:$C36,"คุณจิรภิญญา เป็นปึก",$H6:$H36)*E84</f>
        <v>11247.052319999999</v>
      </c>
      <c r="H84" s="377"/>
      <c r="I84" s="375"/>
      <c r="J84" s="367"/>
      <c r="K84" s="367"/>
      <c r="L84" s="367"/>
      <c r="M84" s="367"/>
      <c r="N84" s="367"/>
      <c r="P84" s="345" t="s">
        <v>158</v>
      </c>
      <c r="JE84" s="367"/>
    </row>
    <row r="85" spans="1:265" ht="22.2" customHeight="1">
      <c r="A85" s="367"/>
      <c r="B85" s="517"/>
      <c r="C85" s="514" t="s">
        <v>78</v>
      </c>
      <c r="D85" s="378" t="s">
        <v>72</v>
      </c>
      <c r="E85" s="379">
        <v>0.75</v>
      </c>
      <c r="F85" s="508">
        <v>0</v>
      </c>
      <c r="G85" s="509">
        <f ca="1">SUMIF($C5:$C35,"คุณแดง มูลสองแคว",$H5:$H35)*E85</f>
        <v>0</v>
      </c>
      <c r="H85" s="377"/>
      <c r="I85" s="375"/>
      <c r="J85" s="367"/>
      <c r="K85" s="367"/>
      <c r="L85" s="367"/>
      <c r="M85" s="367"/>
      <c r="N85" s="367"/>
      <c r="JE85" s="367"/>
    </row>
    <row r="86" spans="1:265" ht="22.2" customHeight="1" thickBot="1">
      <c r="A86" s="367"/>
      <c r="B86" s="517"/>
      <c r="C86" s="514" t="s">
        <v>78</v>
      </c>
      <c r="D86" s="378" t="s">
        <v>67</v>
      </c>
      <c r="E86" s="379">
        <v>0.75</v>
      </c>
      <c r="F86" s="508">
        <v>0</v>
      </c>
      <c r="G86" s="509">
        <f ca="1">SUMIF($C6:$C36,"คุณรุ่งอรุณ อินบุญรอด",$H6:$H36)*E86</f>
        <v>11772.179999999998</v>
      </c>
      <c r="H86" s="377"/>
      <c r="I86" s="375"/>
      <c r="J86" s="367"/>
      <c r="K86" s="367"/>
      <c r="L86" s="367"/>
      <c r="M86" s="367"/>
      <c r="N86" s="367"/>
      <c r="JE86" s="367"/>
    </row>
    <row r="87" spans="1:265" ht="22.2" customHeight="1">
      <c r="A87" s="367"/>
      <c r="B87" s="744" t="s">
        <v>24</v>
      </c>
      <c r="C87" s="504" t="s">
        <v>285</v>
      </c>
      <c r="D87" s="505" t="s">
        <v>97</v>
      </c>
      <c r="E87" s="504">
        <v>0.05</v>
      </c>
      <c r="F87" s="506">
        <v>0</v>
      </c>
      <c r="G87" s="507">
        <f ca="1">$H$35*E87</f>
        <v>24269.439807999996</v>
      </c>
      <c r="H87" s="375"/>
      <c r="I87" s="375"/>
      <c r="J87" s="367"/>
      <c r="K87" s="367"/>
      <c r="L87" s="367"/>
      <c r="M87" s="367"/>
      <c r="N87" s="367"/>
      <c r="JE87" s="367"/>
    </row>
    <row r="88" spans="1:265" ht="22.2" customHeight="1">
      <c r="A88" s="367"/>
      <c r="B88" s="483" t="s">
        <v>286</v>
      </c>
      <c r="C88" s="379" t="s">
        <v>153</v>
      </c>
      <c r="D88" s="378" t="s">
        <v>70</v>
      </c>
      <c r="E88" s="379">
        <v>0.1</v>
      </c>
      <c r="F88" s="508">
        <v>0</v>
      </c>
      <c r="G88" s="509">
        <f ca="1">$H$35*E88</f>
        <v>48538.879615999991</v>
      </c>
      <c r="H88" s="375" t="s">
        <v>288</v>
      </c>
      <c r="I88" s="375"/>
      <c r="J88" s="367"/>
      <c r="K88" s="367"/>
      <c r="L88" s="367"/>
      <c r="M88" s="367"/>
      <c r="N88" s="367"/>
      <c r="JE88" s="367"/>
    </row>
    <row r="89" spans="1:265" ht="22.2" customHeight="1" thickBot="1">
      <c r="A89" s="367"/>
      <c r="B89" s="745" t="s">
        <v>287</v>
      </c>
      <c r="C89" s="510" t="s">
        <v>285</v>
      </c>
      <c r="D89" s="511" t="s">
        <v>97</v>
      </c>
      <c r="E89" s="510">
        <v>0.1</v>
      </c>
      <c r="F89" s="512">
        <v>0</v>
      </c>
      <c r="G89" s="513">
        <f ca="1">$H$35*E89</f>
        <v>48538.879615999991</v>
      </c>
      <c r="H89" s="375" t="s">
        <v>288</v>
      </c>
      <c r="I89" s="375"/>
      <c r="J89" s="367"/>
      <c r="K89" s="367"/>
      <c r="L89" s="367"/>
      <c r="M89" s="367"/>
      <c r="N89" s="367"/>
      <c r="JE89" s="367"/>
    </row>
    <row r="90" spans="1:265" ht="18.600000000000001" customHeight="1" thickBot="1">
      <c r="A90" s="367"/>
      <c r="B90" s="370"/>
      <c r="C90" s="370"/>
      <c r="D90" s="371"/>
      <c r="E90" s="372"/>
      <c r="F90" s="373"/>
      <c r="G90" s="503">
        <f ca="1">SUM(G77:G89)</f>
        <v>485388.79615999991</v>
      </c>
      <c r="H90" s="375"/>
      <c r="I90" s="367"/>
      <c r="J90" s="367"/>
      <c r="K90" s="367"/>
      <c r="L90" s="367"/>
      <c r="M90" s="367"/>
      <c r="N90" s="367"/>
      <c r="JE90" s="367"/>
    </row>
    <row r="91" spans="1:265" ht="14.4" thickTop="1">
      <c r="A91" s="367"/>
      <c r="B91" s="367"/>
      <c r="C91" s="367"/>
      <c r="D91" s="367"/>
      <c r="E91" s="186"/>
      <c r="F91" s="186"/>
      <c r="G91" s="186"/>
      <c r="H91" s="375"/>
      <c r="I91" s="186"/>
      <c r="J91" s="367"/>
      <c r="K91" s="367"/>
      <c r="L91" s="367"/>
      <c r="M91" s="367"/>
      <c r="N91" s="367"/>
      <c r="JE91" s="367"/>
    </row>
    <row r="92" spans="1:265" ht="13.8">
      <c r="A92" s="367"/>
      <c r="B92" s="367"/>
      <c r="C92" s="367"/>
      <c r="D92" s="367"/>
      <c r="E92" s="186"/>
      <c r="F92" s="186"/>
      <c r="G92" s="186"/>
      <c r="H92" s="375"/>
      <c r="I92" s="186"/>
      <c r="J92" s="367"/>
      <c r="K92" s="367"/>
      <c r="L92" s="367"/>
      <c r="M92" s="367"/>
      <c r="N92" s="367"/>
      <c r="JE92" s="367"/>
    </row>
    <row r="93" spans="1:265" ht="13.8">
      <c r="A93" s="367"/>
      <c r="B93" s="367"/>
      <c r="C93" s="367"/>
      <c r="D93" s="367"/>
      <c r="E93" s="186"/>
      <c r="F93" s="186"/>
      <c r="G93" s="186"/>
      <c r="H93" s="375"/>
      <c r="I93" s="186"/>
      <c r="J93" s="367"/>
      <c r="K93" s="367"/>
      <c r="L93" s="367"/>
      <c r="M93" s="367"/>
      <c r="N93" s="367"/>
      <c r="JE93" s="367"/>
    </row>
    <row r="94" spans="1:265" ht="13.8">
      <c r="E94" s="188"/>
      <c r="F94" s="188"/>
      <c r="G94" s="188"/>
      <c r="H94" s="87"/>
      <c r="I94" s="188"/>
      <c r="JE94" s="367"/>
    </row>
    <row r="95" spans="1:265" ht="13.8">
      <c r="E95" s="188"/>
      <c r="F95" s="188"/>
      <c r="G95" s="188"/>
      <c r="H95" s="188"/>
      <c r="I95" s="188"/>
      <c r="JE95" s="367"/>
    </row>
    <row r="96" spans="1:265" ht="13.8">
      <c r="E96" s="188"/>
      <c r="F96" s="188"/>
      <c r="G96" s="188"/>
      <c r="H96" s="188"/>
      <c r="I96" s="188"/>
      <c r="JE96" s="367"/>
    </row>
    <row r="97" spans="5:265" ht="13.8">
      <c r="E97" s="188"/>
      <c r="F97" s="188"/>
      <c r="G97" s="188"/>
      <c r="H97" s="188"/>
      <c r="I97" s="188"/>
      <c r="JE97" s="367"/>
    </row>
    <row r="98" spans="5:265" ht="13.8">
      <c r="E98" s="188"/>
      <c r="F98" s="188"/>
      <c r="G98" s="188"/>
      <c r="H98" s="188"/>
      <c r="I98" s="188"/>
      <c r="JE98" s="367"/>
    </row>
    <row r="99" spans="5:265" ht="13.8">
      <c r="E99" s="188"/>
      <c r="F99" s="188"/>
      <c r="G99" s="188"/>
      <c r="H99" s="188"/>
      <c r="I99" s="188"/>
      <c r="JE99" s="367"/>
    </row>
    <row r="100" spans="5:265" ht="13.8">
      <c r="E100" s="188"/>
      <c r="F100" s="188"/>
      <c r="G100" s="188"/>
      <c r="H100" s="188"/>
      <c r="I100" s="188"/>
      <c r="JE100" s="367"/>
    </row>
    <row r="101" spans="5:265" ht="13.8">
      <c r="E101" s="188"/>
      <c r="F101" s="188"/>
      <c r="G101" s="188"/>
      <c r="H101" s="188"/>
      <c r="I101" s="188"/>
      <c r="JE101" s="367"/>
    </row>
    <row r="102" spans="5:265" ht="13.8">
      <c r="E102" s="188"/>
      <c r="F102" s="188"/>
      <c r="G102" s="188"/>
      <c r="H102" s="188"/>
      <c r="I102" s="188"/>
      <c r="JE102" s="367"/>
    </row>
    <row r="103" spans="5:265" ht="13.8">
      <c r="E103" s="188"/>
      <c r="F103" s="188"/>
      <c r="G103" s="188"/>
      <c r="H103" s="188"/>
      <c r="I103" s="188"/>
      <c r="JE103" s="367"/>
    </row>
    <row r="104" spans="5:265" ht="13.95" customHeight="1">
      <c r="E104" s="188"/>
      <c r="F104" s="188"/>
      <c r="G104" s="188"/>
      <c r="H104" s="188"/>
      <c r="I104" s="188"/>
      <c r="JE104" s="367"/>
    </row>
    <row r="105" spans="5:265" ht="13.95" customHeight="1">
      <c r="E105" s="188"/>
      <c r="F105" s="188"/>
      <c r="G105" s="188"/>
      <c r="H105" s="188"/>
      <c r="I105" s="188"/>
      <c r="JE105" s="367"/>
    </row>
    <row r="106" spans="5:265" ht="13.95" customHeight="1">
      <c r="E106" s="188"/>
      <c r="F106" s="188"/>
      <c r="G106" s="188"/>
      <c r="H106" s="188"/>
      <c r="I106" s="188"/>
    </row>
    <row r="107" spans="5:265" ht="13.8">
      <c r="E107" s="188"/>
      <c r="F107" s="188"/>
      <c r="G107" s="188"/>
      <c r="H107" s="188"/>
      <c r="I107" s="188"/>
    </row>
    <row r="108" spans="5:265" ht="13.8">
      <c r="E108" s="188"/>
      <c r="F108" s="188"/>
      <c r="G108" s="188"/>
      <c r="H108" s="188"/>
      <c r="I108" s="188"/>
    </row>
    <row r="109" spans="5:265" ht="13.8">
      <c r="E109" s="188"/>
      <c r="F109" s="188"/>
      <c r="G109" s="188"/>
      <c r="H109" s="188"/>
      <c r="I109" s="188"/>
    </row>
    <row r="110" spans="5:265" ht="13.8">
      <c r="E110" s="188"/>
      <c r="F110" s="188"/>
      <c r="G110" s="188"/>
      <c r="H110" s="188"/>
      <c r="I110" s="188"/>
    </row>
    <row r="111" spans="5:265" ht="13.8">
      <c r="E111" s="188"/>
      <c r="F111" s="188"/>
      <c r="G111" s="188"/>
      <c r="H111" s="188"/>
      <c r="I111" s="188"/>
    </row>
    <row r="112" spans="5: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row r="148" spans="5:9" ht="13.8"/>
    <row r="149" spans="5:9" ht="13.8"/>
    <row r="150" spans="5:9" ht="13.8"/>
    <row r="151" spans="5:9" ht="13.8"/>
    <row r="152" spans="5:9" ht="13.8"/>
    <row r="153" spans="5:9" ht="13.8"/>
    <row r="154" spans="5:9" ht="13.8"/>
    <row r="155" spans="5:9" ht="13.8"/>
    <row r="156" spans="5:9" ht="13.8"/>
    <row r="157" spans="5:9" ht="13.8"/>
    <row r="158" spans="5:9" ht="13.8"/>
    <row r="159" spans="5:9" ht="13.8"/>
    <row r="160" spans="5:9" ht="13.8"/>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sheetData>
  <mergeCells count="1">
    <mergeCell ref="B38:K39"/>
  </mergeCells>
  <phoneticPr fontId="20" type="noConversion"/>
  <printOptions horizontalCentered="1"/>
  <pageMargins left="0.27559055118110237" right="0.19685039370078741" top="0.43307086614173229" bottom="0.35433070866141736" header="0.23622047244094491" footer="0"/>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0" t="s">
        <v>1</v>
      </c>
      <c r="D5" s="160" t="s">
        <v>6</v>
      </c>
      <c r="E5" s="292" t="s">
        <v>44</v>
      </c>
      <c r="F5" s="250" t="s">
        <v>31</v>
      </c>
      <c r="G5" s="251" t="s">
        <v>36</v>
      </c>
      <c r="H5" s="220" t="s">
        <v>95</v>
      </c>
      <c r="I5" s="252" t="s">
        <v>37</v>
      </c>
      <c r="J5" s="161" t="s">
        <v>40</v>
      </c>
      <c r="K5" s="161" t="s">
        <v>102</v>
      </c>
      <c r="L5" s="162" t="s">
        <v>103</v>
      </c>
      <c r="M5" s="162" t="s">
        <v>104</v>
      </c>
      <c r="N5" s="161" t="s">
        <v>105</v>
      </c>
      <c r="O5" s="218" t="s">
        <v>99</v>
      </c>
      <c r="P5" s="218" t="s">
        <v>100</v>
      </c>
      <c r="Q5" s="218" t="s">
        <v>101</v>
      </c>
      <c r="R5" s="163"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6"/>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7"/>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69"/>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6"/>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8"/>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69"/>
      <c r="T26" s="165"/>
      <c r="U26" s="30"/>
      <c r="V26" s="170"/>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6"/>
      <c r="T27" s="164"/>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7"/>
      <c r="T28" s="168"/>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0"/>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20" t="s">
        <v>63</v>
      </c>
      <c r="B1" s="820"/>
      <c r="C1" s="820"/>
      <c r="D1" s="820"/>
      <c r="E1" s="820"/>
      <c r="F1" s="820"/>
      <c r="G1" s="820"/>
      <c r="H1" s="820"/>
    </row>
    <row r="2" spans="1:1294" s="158" customFormat="1" ht="21.6" customHeight="1">
      <c r="A2" s="821" t="s">
        <v>115</v>
      </c>
      <c r="B2" s="821"/>
      <c r="C2" s="821"/>
      <c r="D2" s="821"/>
      <c r="E2" s="821"/>
      <c r="F2" s="821"/>
      <c r="G2" s="821"/>
      <c r="H2" s="821"/>
    </row>
    <row r="3" spans="1:1294" s="158" customFormat="1" ht="20.399999999999999" customHeight="1">
      <c r="A3" s="158" t="s">
        <v>8</v>
      </c>
      <c r="E3" s="159"/>
      <c r="F3" s="159"/>
      <c r="G3" s="192">
        <v>0</v>
      </c>
      <c r="H3" s="159"/>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22" t="s">
        <v>19</v>
      </c>
      <c r="C5" s="72" t="s">
        <v>70</v>
      </c>
      <c r="D5" s="831"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23"/>
      <c r="C6" s="72" t="s">
        <v>71</v>
      </c>
      <c r="D6" s="832"/>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23"/>
      <c r="C7" s="72" t="s">
        <v>72</v>
      </c>
      <c r="D7" s="832"/>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23"/>
      <c r="C8" s="135" t="s">
        <v>73</v>
      </c>
      <c r="D8" s="832"/>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23"/>
      <c r="C9" s="141" t="s">
        <v>67</v>
      </c>
      <c r="D9" s="832"/>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23"/>
      <c r="C10" s="141" t="s">
        <v>68</v>
      </c>
      <c r="D10" s="832"/>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23"/>
      <c r="C11" s="190" t="s">
        <v>90</v>
      </c>
      <c r="D11" s="832"/>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23"/>
      <c r="C12" s="190" t="s">
        <v>130</v>
      </c>
      <c r="D12" s="832"/>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24"/>
      <c r="C13" s="72" t="s">
        <v>69</v>
      </c>
      <c r="D13" s="833"/>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25" t="s">
        <v>11</v>
      </c>
      <c r="C14" s="72" t="s">
        <v>70</v>
      </c>
      <c r="D14" s="834"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26"/>
      <c r="C15" s="72" t="s">
        <v>71</v>
      </c>
      <c r="D15" s="835"/>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26"/>
      <c r="C16" s="72" t="s">
        <v>72</v>
      </c>
      <c r="D16" s="835"/>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26"/>
      <c r="C17" s="136" t="s">
        <v>73</v>
      </c>
      <c r="D17" s="835"/>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26"/>
      <c r="C18" s="142" t="s">
        <v>67</v>
      </c>
      <c r="D18" s="835"/>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26"/>
      <c r="C19" s="191" t="s">
        <v>68</v>
      </c>
      <c r="D19" s="835"/>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26"/>
      <c r="C20" s="191" t="s">
        <v>90</v>
      </c>
      <c r="D20" s="835"/>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26"/>
      <c r="C21" s="190" t="s">
        <v>130</v>
      </c>
      <c r="D21" s="835"/>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26"/>
      <c r="C22" s="73" t="s">
        <v>69</v>
      </c>
      <c r="D22" s="836"/>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27" t="s">
        <v>20</v>
      </c>
      <c r="C23" s="72" t="s">
        <v>70</v>
      </c>
      <c r="D23" s="831"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27"/>
      <c r="C24" s="74" t="s">
        <v>71</v>
      </c>
      <c r="D24" s="837"/>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27"/>
      <c r="C25" s="74" t="s">
        <v>72</v>
      </c>
      <c r="D25" s="837"/>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28"/>
      <c r="C26" s="136" t="s">
        <v>73</v>
      </c>
      <c r="D26" s="837"/>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29"/>
      <c r="C27" s="142" t="s">
        <v>67</v>
      </c>
      <c r="D27" s="837"/>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30"/>
      <c r="C28" s="191" t="s">
        <v>68</v>
      </c>
      <c r="D28" s="837"/>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30"/>
      <c r="C29" s="191" t="s">
        <v>90</v>
      </c>
      <c r="D29" s="837"/>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30"/>
      <c r="C30" s="190" t="s">
        <v>130</v>
      </c>
      <c r="D30" s="837"/>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27"/>
      <c r="C31" s="119" t="s">
        <v>69</v>
      </c>
      <c r="D31" s="838"/>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19" t="s">
        <v>93</v>
      </c>
      <c r="C35" s="819"/>
      <c r="D35" s="819"/>
      <c r="E35" s="819"/>
      <c r="F35" s="819"/>
      <c r="G35" s="819"/>
      <c r="H35" s="819"/>
      <c r="I35" s="819"/>
      <c r="J35" s="819"/>
      <c r="K35" s="819"/>
      <c r="L35" s="819"/>
      <c r="M35" s="819"/>
    </row>
    <row r="36" spans="2:13" s="45" customFormat="1" ht="14.55" customHeight="1">
      <c r="B36" s="819"/>
      <c r="C36" s="819"/>
      <c r="D36" s="819"/>
      <c r="E36" s="819"/>
      <c r="F36" s="819"/>
      <c r="G36" s="819"/>
      <c r="H36" s="819"/>
      <c r="I36" s="819"/>
      <c r="J36" s="819"/>
      <c r="K36" s="819"/>
      <c r="L36" s="819"/>
      <c r="M36" s="819"/>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2"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2"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2"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2"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2"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2"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2"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1"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3"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1"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1"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1"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4"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รายการตั้งเบิกคอมฯ  CN</vt:lpstr>
      <vt:lpstr>สรุปยอดเบิก CN</vt:lpstr>
      <vt:lpstr>คอมฯ CBN</vt:lpstr>
      <vt:lpstr>สรุปยอดเบิก CBN</vt:lpstr>
      <vt:lpstr>'คอมฯ CBN'!Print_Area</vt:lpstr>
      <vt:lpstr>'รายการตั้งเบิกคอมฯ  CN'!Print_Area</vt:lpstr>
      <vt:lpstr>'สรุปยอดเบิก CBN'!Print_Area</vt:lpstr>
      <vt:lpstr>'สรุปยอดเบิก CN'!Print_Area</vt:lpstr>
      <vt:lpstr>'คอมฯ CBN'!Print_Titles</vt:lpstr>
      <vt:lpstr>'รายการตั้งเบิกคอมฯ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2025-02-21T10:20:58Z</cp:lastPrinted>
  <dcterms:created xsi:type="dcterms:W3CDTF">2022-04-03T17:11:16Z</dcterms:created>
  <dcterms:modified xsi:type="dcterms:W3CDTF">2025-02-25T08:31:33Z</dcterms:modified>
</cp:coreProperties>
</file>