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C:\Users\HQSALE6509NB002\Documents\WORK\02 งาน Oper Sale\05 Sale commission\03 ตั้งเบิก Sales Commission\รอบ 01-2568\"/>
    </mc:Choice>
  </mc:AlternateContent>
  <xr:revisionPtr revIDLastSave="0" documentId="13_ncr:1_{C0E9C3D9-6C26-4FD5-9E23-E44462EC2AD5}" xr6:coauthVersionLast="47" xr6:coauthVersionMax="47" xr10:uidLastSave="{00000000-0000-0000-0000-000000000000}"/>
  <bookViews>
    <workbookView xWindow="28680" yWindow="-120" windowWidth="29040" windowHeight="15720" activeTab="1" xr2:uid="{195A0F0A-E35C-4AD4-8EE8-0CFEA0DC919D}"/>
  </bookViews>
  <sheets>
    <sheet name="Ref" sheetId="6" r:id="rId1"/>
    <sheet name="ตั้งเบิกคอมฯ  CN" sheetId="1" r:id="rId2"/>
    <sheet name="สรุปยอดเบิก CN" sheetId="5" r:id="rId3"/>
    <sheet name="คอมฯ CBN" sheetId="2" state="hidden" r:id="rId4"/>
    <sheet name="สรุปยอดเบิก CBN" sheetId="3" state="hidden" r:id="rId5"/>
  </sheets>
  <definedNames>
    <definedName name="_xlnm._FilterDatabase" localSheetId="3" hidden="1">'คอมฯ CBN'!#REF!</definedName>
    <definedName name="_xlnm._FilterDatabase" localSheetId="1" hidden="1">'ตั้งเบิกคอมฯ  CN'!#REF!</definedName>
    <definedName name="_xlnm.Print_Area" localSheetId="3">'คอมฯ CBN'!$A$1:$U$30</definedName>
    <definedName name="_xlnm.Print_Area" localSheetId="1">'ตั้งเบิกคอมฯ  CN'!$A$1:$AL$62</definedName>
    <definedName name="_xlnm.Print_Area" localSheetId="4">'สรุปยอดเบิก CBN'!$A$1:$M$58</definedName>
    <definedName name="_xlnm.Print_Area" localSheetId="2">'สรุปยอดเบิก CN'!$A$1:$L$79</definedName>
    <definedName name="_xlnm.Print_Titles" localSheetId="3">'คอมฯ CBN'!$5:$5</definedName>
    <definedName name="_xlnm.Print_Titles" localSheetId="1">'ตั้งเบิกคอมฯ  CN'!$6:$6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55" i="1" l="1"/>
  <c r="AG55" i="1" s="1"/>
  <c r="AH55" i="1" s="1"/>
  <c r="W55" i="1"/>
  <c r="X55" i="1" s="1"/>
  <c r="Z55" i="1" s="1"/>
  <c r="O55" i="1"/>
  <c r="L55" i="1"/>
  <c r="M55" i="1" s="1"/>
  <c r="N55" i="1" s="1"/>
  <c r="AF51" i="1"/>
  <c r="AG51" i="1" s="1"/>
  <c r="AH51" i="1" s="1"/>
  <c r="W51" i="1"/>
  <c r="X51" i="1" s="1"/>
  <c r="Z51" i="1" s="1"/>
  <c r="O51" i="1"/>
  <c r="L51" i="1"/>
  <c r="M51" i="1" s="1"/>
  <c r="N51" i="1" s="1"/>
  <c r="AF47" i="1"/>
  <c r="AG47" i="1" s="1"/>
  <c r="AH47" i="1" s="1"/>
  <c r="W47" i="1"/>
  <c r="X47" i="1" s="1"/>
  <c r="Z47" i="1" s="1"/>
  <c r="O47" i="1"/>
  <c r="L47" i="1"/>
  <c r="M47" i="1" s="1"/>
  <c r="N47" i="1" s="1"/>
  <c r="AF43" i="1"/>
  <c r="AG43" i="1" s="1"/>
  <c r="AH43" i="1" s="1"/>
  <c r="W43" i="1"/>
  <c r="X43" i="1" s="1"/>
  <c r="Z43" i="1" s="1"/>
  <c r="O43" i="1"/>
  <c r="L43" i="1"/>
  <c r="M43" i="1" s="1"/>
  <c r="N43" i="1" s="1"/>
  <c r="AF39" i="1"/>
  <c r="AG39" i="1" s="1"/>
  <c r="AH39" i="1" s="1"/>
  <c r="W39" i="1"/>
  <c r="X39" i="1" s="1"/>
  <c r="Z39" i="1" s="1"/>
  <c r="O39" i="1"/>
  <c r="L39" i="1"/>
  <c r="M39" i="1" s="1"/>
  <c r="N39" i="1" s="1"/>
  <c r="O35" i="1"/>
  <c r="F9" i="5"/>
  <c r="F12" i="5"/>
  <c r="F13" i="5"/>
  <c r="F14" i="5"/>
  <c r="N15" i="5"/>
  <c r="M15" i="5"/>
  <c r="M5" i="5"/>
  <c r="AR12" i="1"/>
  <c r="AQ12" i="1"/>
  <c r="AR11" i="1"/>
  <c r="AQ11" i="1"/>
  <c r="E18" i="5"/>
  <c r="G18" i="5"/>
  <c r="Z56" i="1" l="1"/>
  <c r="AB55" i="1"/>
  <c r="AA55" i="1"/>
  <c r="AC55" i="1" s="1"/>
  <c r="AI55" i="1" s="1"/>
  <c r="AA51" i="1"/>
  <c r="AC51" i="1" s="1"/>
  <c r="AI51" i="1" s="1"/>
  <c r="Z52" i="1"/>
  <c r="AB51" i="1"/>
  <c r="AB47" i="1"/>
  <c r="AA47" i="1"/>
  <c r="AC47" i="1" s="1"/>
  <c r="AI47" i="1" s="1"/>
  <c r="Z48" i="1"/>
  <c r="Z44" i="1"/>
  <c r="AB43" i="1"/>
  <c r="AA43" i="1"/>
  <c r="AC43" i="1" s="1"/>
  <c r="AI43" i="1" s="1"/>
  <c r="AB39" i="1"/>
  <c r="AA39" i="1"/>
  <c r="AC39" i="1" s="1"/>
  <c r="AI39" i="1" s="1"/>
  <c r="Z40" i="1"/>
  <c r="H18" i="5"/>
  <c r="AF7" i="1" l="1"/>
  <c r="AG7" i="1" s="1"/>
  <c r="AF11" i="1"/>
  <c r="AG11" i="1" s="1"/>
  <c r="AH11" i="1" s="1"/>
  <c r="AF15" i="1"/>
  <c r="AG15" i="1" s="1"/>
  <c r="AH15" i="1" s="1"/>
  <c r="AF19" i="1"/>
  <c r="AG19" i="1" s="1"/>
  <c r="AH19" i="1" s="1"/>
  <c r="AF23" i="1"/>
  <c r="AG23" i="1" s="1"/>
  <c r="AH23" i="1" s="1"/>
  <c r="AF27" i="1"/>
  <c r="AG27" i="1" s="1"/>
  <c r="AH27" i="1" s="1"/>
  <c r="AF31" i="1"/>
  <c r="AG31" i="1" s="1"/>
  <c r="AH31" i="1" s="1"/>
  <c r="AF35" i="1"/>
  <c r="AG35" i="1" s="1"/>
  <c r="AH35" i="1" s="1"/>
  <c r="Y59" i="1"/>
  <c r="W7" i="1"/>
  <c r="X7" i="1" s="1"/>
  <c r="Z7" i="1" s="1"/>
  <c r="W11" i="1"/>
  <c r="X11" i="1" s="1"/>
  <c r="Z11" i="1" s="1"/>
  <c r="W15" i="1"/>
  <c r="X15" i="1" s="1"/>
  <c r="Z15" i="1" s="1"/>
  <c r="W19" i="1"/>
  <c r="X19" i="1" s="1"/>
  <c r="Z19" i="1" s="1"/>
  <c r="W23" i="1"/>
  <c r="X23" i="1" s="1"/>
  <c r="Z23" i="1" s="1"/>
  <c r="W27" i="1"/>
  <c r="X27" i="1" s="1"/>
  <c r="Z27" i="1" s="1"/>
  <c r="W31" i="1"/>
  <c r="X31" i="1" s="1"/>
  <c r="Z31" i="1" s="1"/>
  <c r="W35" i="1"/>
  <c r="X35" i="1" s="1"/>
  <c r="Z35" i="1" s="1"/>
  <c r="U59" i="1"/>
  <c r="F17" i="5"/>
  <c r="F16" i="5"/>
  <c r="F10" i="5"/>
  <c r="F6" i="5"/>
  <c r="D64" i="1"/>
  <c r="L7" i="1"/>
  <c r="M7" i="1" s="1"/>
  <c r="N7" i="1" s="1"/>
  <c r="L11" i="1"/>
  <c r="M11" i="1" s="1"/>
  <c r="N11" i="1" s="1"/>
  <c r="L15" i="1"/>
  <c r="M15" i="1" s="1"/>
  <c r="N15" i="1" s="1"/>
  <c r="L19" i="1"/>
  <c r="M19" i="1" s="1"/>
  <c r="N19" i="1" s="1"/>
  <c r="F5" i="5" s="1"/>
  <c r="L23" i="1"/>
  <c r="M23" i="1" s="1"/>
  <c r="N23" i="1" s="1"/>
  <c r="O23" i="1"/>
  <c r="L27" i="1"/>
  <c r="M27" i="1" s="1"/>
  <c r="N27" i="1" s="1"/>
  <c r="O27" i="1"/>
  <c r="L31" i="1"/>
  <c r="M31" i="1" s="1"/>
  <c r="N31" i="1" s="1"/>
  <c r="O31" i="1"/>
  <c r="L35" i="1"/>
  <c r="M35" i="1" s="1"/>
  <c r="N35" i="1" s="1"/>
  <c r="F8" i="5"/>
  <c r="E7" i="5"/>
  <c r="F7" i="5"/>
  <c r="Q27" i="1" l="1"/>
  <c r="P27" i="1"/>
  <c r="AI27" i="1" s="1"/>
  <c r="E5" i="5"/>
  <c r="F11" i="5"/>
  <c r="Z59" i="1"/>
  <c r="AH7" i="1"/>
  <c r="AH59" i="1" s="1"/>
  <c r="AG59" i="1"/>
  <c r="X59" i="1"/>
  <c r="AA35" i="1"/>
  <c r="AB35" i="1"/>
  <c r="AA7" i="1"/>
  <c r="AB7" i="1"/>
  <c r="AB27" i="1"/>
  <c r="AA27" i="1"/>
  <c r="Z28" i="1"/>
  <c r="AA19" i="1"/>
  <c r="AB19" i="1"/>
  <c r="Z20" i="1"/>
  <c r="Z12" i="1"/>
  <c r="AA11" i="1"/>
  <c r="AB11" i="1"/>
  <c r="AA31" i="1"/>
  <c r="AB31" i="1"/>
  <c r="Z32" i="1"/>
  <c r="Z24" i="1"/>
  <c r="AA23" i="1"/>
  <c r="AB23" i="1"/>
  <c r="AA15" i="1"/>
  <c r="AB15" i="1"/>
  <c r="W59" i="1"/>
  <c r="L59" i="1"/>
  <c r="N59" i="1"/>
  <c r="Z36" i="1"/>
  <c r="Z8" i="1"/>
  <c r="Z16" i="1"/>
  <c r="M59" i="1"/>
  <c r="AC15" i="1" l="1"/>
  <c r="AI15" i="1" s="1"/>
  <c r="AC31" i="1"/>
  <c r="AI31" i="1" s="1"/>
  <c r="AC35" i="1"/>
  <c r="AI35" i="1" s="1"/>
  <c r="AC7" i="1"/>
  <c r="AI7" i="1" s="1"/>
  <c r="AC19" i="1"/>
  <c r="AI19" i="1" s="1"/>
  <c r="AC11" i="1"/>
  <c r="AI11" i="1" s="1"/>
  <c r="AB59" i="1"/>
  <c r="AC23" i="1"/>
  <c r="AI23" i="1" s="1"/>
  <c r="AC27" i="1"/>
  <c r="AI59" i="1" l="1"/>
  <c r="AA59" i="1"/>
  <c r="N5" i="5" l="1"/>
  <c r="F46" i="5" l="1"/>
  <c r="F45" i="5"/>
  <c r="F44" i="5"/>
  <c r="F41" i="5"/>
  <c r="F40" i="5"/>
  <c r="F38" i="5"/>
  <c r="F34" i="5"/>
  <c r="F31" i="5"/>
  <c r="F30" i="5"/>
  <c r="F27" i="5"/>
  <c r="F26" i="5"/>
  <c r="F24" i="5"/>
  <c r="E24" i="5"/>
  <c r="E23" i="5"/>
  <c r="E22" i="5"/>
  <c r="E21" i="5"/>
  <c r="E20" i="5"/>
  <c r="F20" i="5"/>
  <c r="E46" i="5" l="1"/>
  <c r="E45" i="5"/>
  <c r="E44" i="5"/>
  <c r="E41" i="5"/>
  <c r="E40" i="5"/>
  <c r="E38" i="5"/>
  <c r="E34" i="5"/>
  <c r="H38" i="5"/>
  <c r="H40" i="5"/>
  <c r="H41" i="5"/>
  <c r="H44" i="5"/>
  <c r="H45" i="5"/>
  <c r="H46" i="5"/>
  <c r="E32" i="5"/>
  <c r="E30" i="5"/>
  <c r="E29" i="5"/>
  <c r="E28" i="5"/>
  <c r="E26" i="5"/>
  <c r="E25" i="5"/>
  <c r="E19" i="5"/>
  <c r="E31" i="5"/>
  <c r="E27" i="5"/>
  <c r="H20" i="5"/>
  <c r="H24" i="5"/>
  <c r="H26" i="5"/>
  <c r="H27" i="5"/>
  <c r="H30" i="5"/>
  <c r="H31" i="5"/>
  <c r="H32" i="5"/>
  <c r="E17" i="5"/>
  <c r="E16" i="5"/>
  <c r="E15" i="5"/>
  <c r="E14" i="5"/>
  <c r="E13" i="5"/>
  <c r="E12" i="5"/>
  <c r="E11" i="5"/>
  <c r="E10" i="5"/>
  <c r="E8" i="5"/>
  <c r="E6" i="5"/>
  <c r="G7" i="5"/>
  <c r="G8" i="5"/>
  <c r="G9" i="5"/>
  <c r="G10" i="5"/>
  <c r="H10" i="5" s="1"/>
  <c r="G11" i="5"/>
  <c r="G13" i="5"/>
  <c r="G14" i="5"/>
  <c r="G15" i="5"/>
  <c r="G98" i="5" l="1"/>
  <c r="E58" i="5" s="1"/>
  <c r="G58" i="5" s="1"/>
  <c r="I58" i="5" s="1"/>
  <c r="H14" i="5"/>
  <c r="H8" i="5"/>
  <c r="G12" i="5"/>
  <c r="H12" i="5" s="1"/>
  <c r="G100" i="5" s="1"/>
  <c r="E60" i="5" s="1"/>
  <c r="G60" i="5" s="1"/>
  <c r="I60" i="5" s="1"/>
  <c r="H15" i="5"/>
  <c r="H13" i="5"/>
  <c r="G101" i="5" s="1"/>
  <c r="E61" i="5" s="1"/>
  <c r="G61" i="5" s="1"/>
  <c r="I61" i="5" s="1"/>
  <c r="H11" i="5"/>
  <c r="H9" i="5"/>
  <c r="H7" i="5"/>
  <c r="E35" i="5"/>
  <c r="F39" i="5" l="1"/>
  <c r="H39" i="5" s="1"/>
  <c r="E39" i="5"/>
  <c r="F37" i="5"/>
  <c r="H37" i="5" s="1"/>
  <c r="E37" i="5"/>
  <c r="F36" i="5"/>
  <c r="H36" i="5" s="1"/>
  <c r="E36" i="5"/>
  <c r="F43" i="5"/>
  <c r="H43" i="5" s="1"/>
  <c r="E43" i="5"/>
  <c r="F33" i="5"/>
  <c r="E33" i="5"/>
  <c r="E42" i="5"/>
  <c r="F42" i="5"/>
  <c r="H42" i="5" s="1"/>
  <c r="F25" i="5" l="1"/>
  <c r="H25" i="5" s="1"/>
  <c r="G99" i="5" s="1"/>
  <c r="E59" i="5" s="1"/>
  <c r="G59" i="5" s="1"/>
  <c r="I59" i="5" s="1"/>
  <c r="F22" i="5"/>
  <c r="H22" i="5" s="1"/>
  <c r="G96" i="5" s="1"/>
  <c r="E56" i="5" s="1"/>
  <c r="G56" i="5" s="1"/>
  <c r="I56" i="5" s="1"/>
  <c r="F21" i="5"/>
  <c r="H21" i="5" s="1"/>
  <c r="F28" i="5"/>
  <c r="H28" i="5" s="1"/>
  <c r="G103" i="5" s="1"/>
  <c r="E63" i="5" s="1"/>
  <c r="G63" i="5" s="1"/>
  <c r="I63" i="5" s="1"/>
  <c r="G72" i="3"/>
  <c r="E45" i="3" s="1"/>
  <c r="F30" i="3"/>
  <c r="G30" i="3" s="1"/>
  <c r="E30" i="3"/>
  <c r="F22" i="3"/>
  <c r="F20" i="3"/>
  <c r="F21" i="3"/>
  <c r="G21" i="3" s="1"/>
  <c r="E21" i="3"/>
  <c r="F12" i="3"/>
  <c r="E12" i="3"/>
  <c r="F29" i="5" l="1"/>
  <c r="H29" i="5" s="1"/>
  <c r="G102" i="5" s="1"/>
  <c r="E62" i="5" s="1"/>
  <c r="G62" i="5" s="1"/>
  <c r="I62" i="5" s="1"/>
  <c r="F19" i="5"/>
  <c r="H23" i="5"/>
  <c r="G97" i="5" s="1"/>
  <c r="E57" i="5" s="1"/>
  <c r="G57" i="5" s="1"/>
  <c r="I57" i="5" s="1"/>
  <c r="H30" i="3"/>
  <c r="H21" i="3"/>
  <c r="G12" i="3"/>
  <c r="H12" i="3" s="1"/>
  <c r="Q12" i="2"/>
  <c r="M12" i="2"/>
  <c r="N12" i="2" s="1"/>
  <c r="I12" i="2"/>
  <c r="Q9" i="2"/>
  <c r="M9" i="2"/>
  <c r="L9" i="2"/>
  <c r="N9" i="2" s="1"/>
  <c r="I9" i="2"/>
  <c r="R9" i="2" s="1"/>
  <c r="R12" i="2" l="1"/>
  <c r="I18" i="2" l="1"/>
  <c r="L18" i="2"/>
  <c r="N18" i="2" s="1"/>
  <c r="M18" i="2"/>
  <c r="Q18" i="2"/>
  <c r="I21" i="2"/>
  <c r="L21" i="2"/>
  <c r="M21" i="2"/>
  <c r="Q21" i="2"/>
  <c r="I24" i="2"/>
  <c r="L24" i="2"/>
  <c r="N24" i="2" s="1"/>
  <c r="M24" i="2"/>
  <c r="Q24" i="2"/>
  <c r="I27" i="2"/>
  <c r="L27" i="2"/>
  <c r="N27" i="2" s="1"/>
  <c r="M27" i="2"/>
  <c r="Q27" i="2"/>
  <c r="F35" i="5"/>
  <c r="H35" i="5" s="1"/>
  <c r="G95" i="5" s="1"/>
  <c r="E55" i="5" s="1"/>
  <c r="G55" i="5" s="1"/>
  <c r="I55" i="5" s="1"/>
  <c r="F31" i="3"/>
  <c r="E31" i="3"/>
  <c r="F29" i="3"/>
  <c r="E29" i="3"/>
  <c r="F26" i="3"/>
  <c r="E26" i="3"/>
  <c r="F25" i="3"/>
  <c r="E25" i="3"/>
  <c r="F17" i="3"/>
  <c r="F16" i="3"/>
  <c r="E14" i="3"/>
  <c r="R27" i="2" l="1"/>
  <c r="R24" i="2"/>
  <c r="N21" i="2"/>
  <c r="R21" i="2" s="1"/>
  <c r="R18" i="2"/>
  <c r="G25" i="3"/>
  <c r="H25" i="3" s="1"/>
  <c r="G26" i="3"/>
  <c r="H26" i="3" s="1"/>
  <c r="G29" i="3"/>
  <c r="H29" i="3" s="1"/>
  <c r="G31" i="3"/>
  <c r="H31" i="3" s="1"/>
  <c r="Q15" i="2" l="1"/>
  <c r="Q6" i="2"/>
  <c r="E23" i="3" l="1"/>
  <c r="F23" i="3"/>
  <c r="G23" i="3" s="1"/>
  <c r="H23" i="3" s="1"/>
  <c r="E27" i="3"/>
  <c r="F27" i="3"/>
  <c r="G27" i="3" s="1"/>
  <c r="H27" i="3" s="1"/>
  <c r="F24" i="3"/>
  <c r="G24" i="3" s="1"/>
  <c r="H24" i="3" s="1"/>
  <c r="E24" i="3"/>
  <c r="F28" i="3"/>
  <c r="G28" i="3" s="1"/>
  <c r="H28" i="3" s="1"/>
  <c r="E28" i="3"/>
  <c r="H30" i="2"/>
  <c r="I15" i="2"/>
  <c r="I6" i="2"/>
  <c r="E22" i="3" l="1"/>
  <c r="F13" i="3"/>
  <c r="E13" i="3"/>
  <c r="E20" i="3"/>
  <c r="F11" i="3"/>
  <c r="E11" i="3"/>
  <c r="E19" i="3"/>
  <c r="F10" i="3"/>
  <c r="E10" i="3"/>
  <c r="E18" i="3"/>
  <c r="F9" i="3"/>
  <c r="E9" i="3"/>
  <c r="E17" i="3"/>
  <c r="F8" i="3"/>
  <c r="E8" i="3"/>
  <c r="E16" i="3"/>
  <c r="F7" i="3"/>
  <c r="E7" i="3"/>
  <c r="E15" i="3"/>
  <c r="F6" i="3"/>
  <c r="E6" i="3"/>
  <c r="F5" i="3"/>
  <c r="E5" i="3"/>
  <c r="G11" i="3" l="1"/>
  <c r="H11" i="3" s="1"/>
  <c r="G6" i="5"/>
  <c r="G10" i="3" l="1"/>
  <c r="H10" i="3" s="1"/>
  <c r="J30" i="2" l="1"/>
  <c r="K30" i="2"/>
  <c r="I30" i="2"/>
  <c r="G9" i="3" l="1"/>
  <c r="H9" i="3" s="1"/>
  <c r="G17" i="5"/>
  <c r="H17" i="5" s="1"/>
  <c r="G104" i="5" s="1"/>
  <c r="E64" i="5" s="1"/>
  <c r="G64" i="5" s="1"/>
  <c r="I64" i="5" s="1"/>
  <c r="G106" i="5" l="1"/>
  <c r="E66" i="5" s="1"/>
  <c r="G66" i="5" s="1"/>
  <c r="I66" i="5" s="1"/>
  <c r="AJ59" i="1"/>
  <c r="AL59" i="1"/>
  <c r="AK59" i="1"/>
  <c r="S30" i="2"/>
  <c r="T30" i="2"/>
  <c r="H6" i="5" l="1"/>
  <c r="G16" i="5" l="1"/>
  <c r="H16" i="5" s="1"/>
  <c r="G105" i="5" s="1"/>
  <c r="E65" i="5" s="1"/>
  <c r="G65" i="5" s="1"/>
  <c r="I65" i="5" s="1"/>
  <c r="G8" i="3"/>
  <c r="H8" i="3" s="1"/>
  <c r="G13" i="3"/>
  <c r="H13" i="3" s="1"/>
  <c r="H50" i="3" l="1"/>
  <c r="M15" i="2" l="1"/>
  <c r="L15" i="2"/>
  <c r="M6" i="2"/>
  <c r="L6" i="2"/>
  <c r="N15" i="2" l="1"/>
  <c r="N6" i="2"/>
  <c r="R6" i="2"/>
  <c r="F19" i="3"/>
  <c r="F18" i="3"/>
  <c r="R15" i="2"/>
  <c r="F15" i="3"/>
  <c r="H33" i="5"/>
  <c r="L30" i="2"/>
  <c r="M30" i="2"/>
  <c r="H34" i="5"/>
  <c r="G94" i="5" s="1"/>
  <c r="E54" i="5" s="1"/>
  <c r="F14" i="3" l="1"/>
  <c r="G20" i="3"/>
  <c r="H20" i="3" s="1"/>
  <c r="G71" i="3" s="1"/>
  <c r="E44" i="3" s="1"/>
  <c r="G44" i="3" s="1"/>
  <c r="I44" i="3" s="1"/>
  <c r="J44" i="3" s="1"/>
  <c r="K44" i="3" s="1"/>
  <c r="F30" i="2"/>
  <c r="G7" i="3" l="1"/>
  <c r="H7" i="3" s="1"/>
  <c r="G6" i="3"/>
  <c r="H6" i="3" s="1"/>
  <c r="G5" i="3"/>
  <c r="E32" i="3" l="1"/>
  <c r="G18" i="3"/>
  <c r="H18" i="3" s="1"/>
  <c r="G69" i="3" l="1"/>
  <c r="E42" i="3" s="1"/>
  <c r="G42" i="3" s="1"/>
  <c r="I42" i="3" s="1"/>
  <c r="J42" i="3" s="1"/>
  <c r="K42" i="3" s="1"/>
  <c r="G19" i="3"/>
  <c r="H19" i="3" s="1"/>
  <c r="AC59" i="1"/>
  <c r="G70" i="3" l="1"/>
  <c r="E43" i="3" s="1"/>
  <c r="G43" i="3" s="1"/>
  <c r="I43" i="3" s="1"/>
  <c r="J43" i="3" s="1"/>
  <c r="K43" i="3" s="1"/>
  <c r="E47" i="5" l="1"/>
  <c r="G5" i="5" l="1"/>
  <c r="H5" i="5" s="1"/>
  <c r="G54" i="5" l="1"/>
  <c r="I54" i="5" s="1"/>
  <c r="G22" i="3" l="1"/>
  <c r="H22" i="3" s="1"/>
  <c r="R30" i="2"/>
  <c r="G17" i="3"/>
  <c r="H17" i="3" s="1"/>
  <c r="Q30" i="2"/>
  <c r="G15" i="3"/>
  <c r="H15" i="3" s="1"/>
  <c r="G14" i="3"/>
  <c r="G66" i="3" l="1"/>
  <c r="E39" i="3" s="1"/>
  <c r="G39" i="3" s="1"/>
  <c r="I39" i="3" s="1"/>
  <c r="J39" i="3" s="1"/>
  <c r="K39" i="3" s="1"/>
  <c r="G68" i="3"/>
  <c r="G73" i="3"/>
  <c r="G16" i="3"/>
  <c r="H16" i="3" s="1"/>
  <c r="H14" i="3"/>
  <c r="F32" i="3"/>
  <c r="E46" i="3" l="1"/>
  <c r="G46" i="3" s="1"/>
  <c r="I46" i="3" s="1"/>
  <c r="J46" i="3" s="1"/>
  <c r="K46" i="3" s="1"/>
  <c r="G45" i="3"/>
  <c r="I45" i="3" s="1"/>
  <c r="G67" i="3"/>
  <c r="E40" i="3" s="1"/>
  <c r="G40" i="3" s="1"/>
  <c r="I40" i="3" s="1"/>
  <c r="J40" i="3" s="1"/>
  <c r="K40" i="3" s="1"/>
  <c r="E41" i="3"/>
  <c r="H5" i="3"/>
  <c r="G65" i="3" s="1"/>
  <c r="G32" i="3"/>
  <c r="J45" i="3" l="1"/>
  <c r="K45" i="3" s="1"/>
  <c r="E38" i="3"/>
  <c r="G38" i="3" s="1"/>
  <c r="H32" i="3"/>
  <c r="G74" i="3" l="1"/>
  <c r="E47" i="3" s="1"/>
  <c r="G75" i="3"/>
  <c r="E48" i="3" s="1"/>
  <c r="G48" i="3" s="1"/>
  <c r="I48" i="3" s="1"/>
  <c r="J48" i="3" s="1"/>
  <c r="K48" i="3" s="1"/>
  <c r="G76" i="3"/>
  <c r="E49" i="3" s="1"/>
  <c r="G49" i="3" s="1"/>
  <c r="I49" i="3" s="1"/>
  <c r="J49" i="3" s="1"/>
  <c r="K49" i="3" s="1"/>
  <c r="G47" i="5"/>
  <c r="I38" i="3"/>
  <c r="G41" i="3"/>
  <c r="I41" i="3" s="1"/>
  <c r="J41" i="3" s="1"/>
  <c r="K41" i="3" s="1"/>
  <c r="G77" i="3" l="1"/>
  <c r="J38" i="3"/>
  <c r="F47" i="5"/>
  <c r="G47" i="3"/>
  <c r="H19" i="5"/>
  <c r="G93" i="5" l="1"/>
  <c r="E53" i="5" s="1"/>
  <c r="H47" i="5"/>
  <c r="K38" i="3"/>
  <c r="I47" i="3"/>
  <c r="G50" i="3"/>
  <c r="G109" i="5" l="1"/>
  <c r="E69" i="5" s="1"/>
  <c r="G69" i="5" s="1"/>
  <c r="I69" i="5" s="1"/>
  <c r="G108" i="5"/>
  <c r="E68" i="5" s="1"/>
  <c r="G68" i="5" s="1"/>
  <c r="I68" i="5" s="1"/>
  <c r="G107" i="5"/>
  <c r="E67" i="5" s="1"/>
  <c r="G67" i="5" s="1"/>
  <c r="I67" i="5" s="1"/>
  <c r="J47" i="3"/>
  <c r="J50" i="3" s="1"/>
  <c r="I50" i="3"/>
  <c r="G53" i="5"/>
  <c r="I53" i="5" s="1"/>
  <c r="K47" i="3" l="1"/>
  <c r="G110" i="5"/>
  <c r="K50" i="3" l="1"/>
  <c r="E70" i="5"/>
  <c r="I70" i="5" l="1"/>
  <c r="G70" i="5"/>
</calcChain>
</file>

<file path=xl/sharedStrings.xml><?xml version="1.0" encoding="utf-8"?>
<sst xmlns="http://schemas.openxmlformats.org/spreadsheetml/2006/main" count="664" uniqueCount="268">
  <si>
    <t>ลำดับ</t>
  </si>
  <si>
    <t>ชื่อเจ้าของโครงการ</t>
  </si>
  <si>
    <t>รายการเบิก</t>
  </si>
  <si>
    <t>จำนวนเงิน</t>
  </si>
  <si>
    <t>ยอดคงเหลือ</t>
  </si>
  <si>
    <t>Total</t>
  </si>
  <si>
    <t>Sales</t>
  </si>
  <si>
    <t>เขตการขาย</t>
  </si>
  <si>
    <t xml:space="preserve">ตั้งเบิก บริษัท เคเบิล คอนเน็ค จำกัด </t>
  </si>
  <si>
    <t>รายละเอียดค่าคอม</t>
  </si>
  <si>
    <t>หัก CBN
30%</t>
  </si>
  <si>
    <t>ค่าคอมฯ ช่างติดตั้ง</t>
  </si>
  <si>
    <t>รวมทั้งสิ้น</t>
  </si>
  <si>
    <t>ส่วนงานขาย</t>
  </si>
  <si>
    <t>ชื่อผู้รับเงิน</t>
  </si>
  <si>
    <t>หัก ณ ที่จ่าย</t>
  </si>
  <si>
    <t xml:space="preserve">ค่าคอมฯ สุทธิ </t>
  </si>
  <si>
    <t>HP</t>
  </si>
  <si>
    <t>Freelance</t>
  </si>
  <si>
    <t>ค่าคอมฯขาย
Internet</t>
  </si>
  <si>
    <t>ค่าคอมขายอุปกรณ์</t>
  </si>
  <si>
    <t>คุณจันทราภรณ์ สุภาพวนิช</t>
  </si>
  <si>
    <t>อัตราส่วนแบ่ง</t>
  </si>
  <si>
    <t>SALES</t>
  </si>
  <si>
    <t>CENTER SALES</t>
  </si>
  <si>
    <t>Sales Coordinator</t>
  </si>
  <si>
    <t>จำนวน
โครงการ</t>
  </si>
  <si>
    <t>ค่าคอมฯ ขายงานติดตั้งระบบ
งานติดตั้งระบบให้บริการหลัก</t>
  </si>
  <si>
    <t>งานขายอุปกรณ์เพิ่มเติม</t>
  </si>
  <si>
    <t>หัก กสทช</t>
  </si>
  <si>
    <t>ยอดโอนสุทธิ</t>
  </si>
  <si>
    <t>ค่าบริการรายเดือนตาม Package</t>
  </si>
  <si>
    <t>หัก ภาษีรายได้</t>
  </si>
  <si>
    <t>ยอดเงินโอน</t>
  </si>
  <si>
    <t>เงินเข้าสุทธิ</t>
  </si>
  <si>
    <t>ชื่อผู้รับเงิน (บัญชีเงินเดือน)</t>
  </si>
  <si>
    <t>เดือนที่เริ่มเก็บ
ค่าบริการ</t>
  </si>
  <si>
    <t>รายการเบิก
คอมขาย</t>
  </si>
  <si>
    <t>เลขที่ใบกำกับ/ใบเสร็จรับเงิน</t>
  </si>
  <si>
    <t>รหัสลูกค้า</t>
  </si>
  <si>
    <t>ค่าขายอุปกรณ์</t>
  </si>
  <si>
    <t>สรุปรายการผู้รับเงิน</t>
  </si>
  <si>
    <t xml:space="preserve">เลขที่นำส่งเงิน
</t>
  </si>
  <si>
    <t>บริษัท เจริญเคเบิลทีวี เน็ตเวอร์ค จำกัด</t>
  </si>
  <si>
    <t>บริการประเภท</t>
  </si>
  <si>
    <t>Cable DTV</t>
  </si>
  <si>
    <t>Cable IPTV</t>
  </si>
  <si>
    <t>Internet Lease Line</t>
  </si>
  <si>
    <t>ประเภทบริการ</t>
  </si>
  <si>
    <t>Internet ( Fttx to Head)</t>
  </si>
  <si>
    <t>Internet ( Hotspot wifi )</t>
  </si>
  <si>
    <t>Internet FTTx Room</t>
  </si>
  <si>
    <t>Internet Lan To Room</t>
  </si>
  <si>
    <t>Internet Lease Line Event</t>
  </si>
  <si>
    <t>Internet WI FI Hospot</t>
  </si>
  <si>
    <t>ทีมงานขาย
(ชื่อทีม/คน ขายสาขา)</t>
  </si>
  <si>
    <t>Digital Steams</t>
  </si>
  <si>
    <t>หักส่วนต่างระหว่างบริษัท
(CBN-CN 3%)</t>
  </si>
  <si>
    <t>ยอดเงินโอนสุทธิ</t>
  </si>
  <si>
    <t>Event</t>
  </si>
  <si>
    <t>TEAM  SALES MG</t>
  </si>
  <si>
    <t>SC</t>
  </si>
  <si>
    <t>รายงานสรุปค่าคอมมิชชั่นจากการติดตั้งประจำปี 2567</t>
  </si>
  <si>
    <t>ฝ่ายขายกลุ่ม Ressident</t>
  </si>
  <si>
    <t>ค่าคอมขาย -Cable TV</t>
  </si>
  <si>
    <t>ค่าคอมขาย - HOTSPOT WIFI</t>
  </si>
  <si>
    <t>ตั้งเบิก บริษัท เจริญเคเบิลทีวี เน็ตเวอร์ค จำกัด</t>
  </si>
  <si>
    <t>คุณรุ่งอรุณ อินบุญรอด</t>
  </si>
  <si>
    <t>คุณศศินาถ จุ้ยอยู่ทอง</t>
  </si>
  <si>
    <t>คุณธัญลักษณ์ หมื่นหลุบกุง</t>
  </si>
  <si>
    <t>คุณนิมิต จุ้ยอยู่ทอง</t>
  </si>
  <si>
    <t>คุณธวัช มีแสง</t>
  </si>
  <si>
    <t>คุณแดง มูลสองแคว</t>
  </si>
  <si>
    <t>คุณนิยนต์ อยู่ทะเล</t>
  </si>
  <si>
    <t>คุณจินตนา อ้อยหวาน</t>
  </si>
  <si>
    <t>คุณพัชรพรรณ พึ่งพา</t>
  </si>
  <si>
    <t>ธนาคาร</t>
  </si>
  <si>
    <t>เลขที่บัญชี</t>
  </si>
  <si>
    <t>RS</t>
  </si>
  <si>
    <t>คุณดารณี อนันทวัน</t>
  </si>
  <si>
    <t>รายละเอียดการจัดสรรส่วนแบ่ง ค่าคอมฯ ส่วนงาน RS</t>
  </si>
  <si>
    <t xml:space="preserve">051-2-27264-2 </t>
  </si>
  <si>
    <t>051-2-28325-0</t>
  </si>
  <si>
    <t>051-2-32010-2</t>
  </si>
  <si>
    <t>051-2-19666-8</t>
  </si>
  <si>
    <t>150-2-58423-6</t>
  </si>
  <si>
    <t>051-2-27260-0</t>
  </si>
  <si>
    <t>210-2-29048-9</t>
  </si>
  <si>
    <t>TTB</t>
  </si>
  <si>
    <t>931-2-06799-5</t>
  </si>
  <si>
    <t>คุณณรงศ์ศักย์ เหล่ารัตนเวช</t>
  </si>
  <si>
    <t>919-7-16713-4</t>
  </si>
  <si>
    <t>บริษัท เคเบิลคอนเนค จำกัด</t>
  </si>
  <si>
    <t>รายชื่อผู้รับค่าคอมส่วนงาน RS  (ตามหลักเกณฑ์ใหม่)</t>
  </si>
  <si>
    <t>ค่าคอมฯขาย Cable TV</t>
  </si>
  <si>
    <t>รายการเบิก
คอมขายเพิ่มเติม
(เป้าตามกำหนด)
100-200%</t>
  </si>
  <si>
    <t>Internet ( Hotspot wifi ) ขายอุปกรณ์</t>
  </si>
  <si>
    <t>คุณสุชานัน พึ่งพา</t>
  </si>
  <si>
    <t>931-2-06801-9</t>
  </si>
  <si>
    <t>ค่าติดตั้ง/ค่าเชื่อมสัญญาณ</t>
  </si>
  <si>
    <t>ต้นทุนค่าติดตั้ง/ค่าเชื่อมสัญญาณ</t>
  </si>
  <si>
    <t>Total 
คอมฯค่าติดตั้ง/ค่าเชื่อมสัญญาณ</t>
  </si>
  <si>
    <t>ต้นทุนค่าขายอุปกรณ์</t>
  </si>
  <si>
    <t>คอมฯอุปกรณ์
 5%</t>
  </si>
  <si>
    <t>คอมฯ อุปกรณ์
25%</t>
  </si>
  <si>
    <t>Total
คอมฯ อุปกรณ์</t>
  </si>
  <si>
    <t>รวมค่าคอมฯ</t>
  </si>
  <si>
    <t>LB</t>
  </si>
  <si>
    <t>WING670624</t>
  </si>
  <si>
    <t>บริษัท เดอะ การ์เด้น เพลส งามวงศ์วาน จำกัด</t>
  </si>
  <si>
    <t>โครงการ เดอะการ์เด้นเพลส</t>
  </si>
  <si>
    <t>IV6710189</t>
  </si>
  <si>
    <t>NG</t>
  </si>
  <si>
    <t>NGCBN-HP241003</t>
  </si>
  <si>
    <t>ประจำเดือน พฤศจิกายน</t>
  </si>
  <si>
    <t>สรุปรายการเบิกค่าคอมมิชชั่น ประจำเดือน  พฤศจิกายน 2567</t>
  </si>
  <si>
    <t>ยกมาจากรอบ ต.ค. 67 เนื่องจาก Sales ส่งเอกสารไม่ทัน</t>
  </si>
  <si>
    <t>WILB671033</t>
  </si>
  <si>
    <t>คุณรัตนา บางเทศธรรม</t>
  </si>
  <si>
    <t>โครงการ ศักดิ์นาวิล แมนชั่น</t>
  </si>
  <si>
    <t>IV6710302</t>
  </si>
  <si>
    <t>WILB671034</t>
  </si>
  <si>
    <t>คุณศศิลดา เหรียญตระกูลชัย</t>
  </si>
  <si>
    <t>โครงการ ภีทยา แมนชั่น</t>
  </si>
  <si>
    <t>IV6710278</t>
  </si>
  <si>
    <t>WIWD670932</t>
  </si>
  <si>
    <t>โครงการ สิริวรรณ</t>
  </si>
  <si>
    <t>คุณสิริวรรณ โล้พิรุณ</t>
  </si>
  <si>
    <t>IV6711232</t>
  </si>
  <si>
    <t>WD</t>
  </si>
  <si>
    <t>คุณชนัฐฎา สนคะมี</t>
  </si>
  <si>
    <t>261-2-24637-7</t>
  </si>
  <si>
    <t>LBCBN-HP241103</t>
  </si>
  <si>
    <t>WDCBN-HP241103</t>
  </si>
  <si>
    <t>ค่าเชื่อมสัญญาณ/
ค่าติดตั้ง/
ค่าขายอุปกรณ์
(เรียกเก็บสุทธิ)</t>
  </si>
  <si>
    <t>ต้นทุน</t>
  </si>
  <si>
    <t>ส่วนต่างกำไร</t>
  </si>
  <si>
    <t>กรณีมีต้นทุน</t>
  </si>
  <si>
    <t>คอมฯ
 5%</t>
  </si>
  <si>
    <t>คอมฯ
10%</t>
  </si>
  <si>
    <t>กรณีไม่มีต้นทุน</t>
  </si>
  <si>
    <t>ค่าเชื่อมสัญญาณ
(เรียกเก็บสุทธิ)</t>
  </si>
  <si>
    <t>ค่าบริการเฉลียรายเดือนตาม Package
(เรียกเก็บสุทธิ)</t>
  </si>
  <si>
    <r>
      <t xml:space="preserve">ค่าคอมฯ </t>
    </r>
    <r>
      <rPr>
        <b/>
        <u/>
        <sz val="11"/>
        <rFont val="Tahoma"/>
        <family val="2"/>
      </rPr>
      <t>(กรณีมีต้นทุน)</t>
    </r>
  </si>
  <si>
    <t>ค่าเชื่อมสัญญาณ/</t>
  </si>
  <si>
    <t>ค่าติดตั้ง/</t>
  </si>
  <si>
    <r>
      <t xml:space="preserve">ค่าคอมฯ </t>
    </r>
    <r>
      <rPr>
        <b/>
        <u/>
        <sz val="11"/>
        <rFont val="Tahoma"/>
        <family val="2"/>
      </rPr>
      <t>(กรณีไม่มีต้นทุน)</t>
    </r>
  </si>
  <si>
    <t>ค่าเชื่อมสัญญาณ</t>
  </si>
  <si>
    <t xml:space="preserve">ค่าคอมฯ ค่าเชื่อมสัญญาณ/
</t>
  </si>
  <si>
    <t>ค่าติดตั้งระบบ/ค่าขายอุปกรณ์</t>
  </si>
  <si>
    <t>(มีต้นทุน)</t>
  </si>
  <si>
    <t xml:space="preserve">ค่าคอมฯ ค่าเชื่อมสัญญาณ
</t>
  </si>
  <si>
    <t>(ไม่มีต้นทุน)</t>
  </si>
  <si>
    <t>คุณจิรภิญญา เป็นปึก</t>
  </si>
  <si>
    <t>คุณนรินทร์ ปิงมูล</t>
  </si>
  <si>
    <t>SE</t>
  </si>
  <si>
    <t>Cable ช่องรายการเสริม</t>
  </si>
  <si>
    <t>Cable ขายอุปกรณ์</t>
  </si>
  <si>
    <t>ฝ่ายขายกลุ่ม Hospitality &amp; Ressident</t>
  </si>
  <si>
    <t>Sales Engineer</t>
  </si>
  <si>
    <t>เรทส่วนแบ่งเปอร์เซ็นต์ค่าคอมตาม Memo (พ.1) ลงวันที่ 9/12/2567</t>
  </si>
  <si>
    <t>(Sales)</t>
  </si>
  <si>
    <t>Operation Sales</t>
  </si>
  <si>
    <t>051-2-21873-6</t>
  </si>
  <si>
    <t>138-2-93890-8</t>
  </si>
  <si>
    <t>919-7-16744-9</t>
  </si>
  <si>
    <t>234-2-86145-3</t>
  </si>
  <si>
    <t>051-2-22877-6</t>
  </si>
  <si>
    <t>สั่งจ่าย</t>
  </si>
  <si>
    <t>ปีที่ 1</t>
  </si>
  <si>
    <t>ปีที่ 2</t>
  </si>
  <si>
    <t>ปีที่ 3</t>
  </si>
  <si>
    <t>ปีที่ 4</t>
  </si>
  <si>
    <t>ปีที่ 5</t>
  </si>
  <si>
    <t>ระยะเวลาสัญญา
(เดือน)</t>
  </si>
  <si>
    <t>SKIVL-2410-0052</t>
  </si>
  <si>
    <t>SKSP-2411-0042</t>
  </si>
  <si>
    <t>SK</t>
  </si>
  <si>
    <t>ประจำเดือน มกราคม</t>
  </si>
  <si>
    <t>บริษัท เทพเทวีเพลซ จำกัด</t>
  </si>
  <si>
    <t>โครงการ อาคารคุณแอน</t>
  </si>
  <si>
    <t>บริษัท เดอะ คอนเนคชั่น เพลส จำกัด</t>
  </si>
  <si>
    <t>โครงการ Your Space</t>
  </si>
  <si>
    <t>ยอดที่1</t>
  </si>
  <si>
    <t>ยอดที่2</t>
  </si>
  <si>
    <t>Recheck</t>
  </si>
  <si>
    <t>ยอดที่3</t>
  </si>
  <si>
    <t>ยอดที่4</t>
  </si>
  <si>
    <t>ยอดที่5</t>
  </si>
  <si>
    <t>จ่ายครั้งเดียว</t>
  </si>
  <si>
    <t>แบ่งจ่ายตามปีสัญญา</t>
  </si>
  <si>
    <t>ค่าคอมฯ (กรณีมีต้นทุน)</t>
  </si>
  <si>
    <t>ค่าคอมฯ (กรณีไม่มีต้นทุน)</t>
  </si>
  <si>
    <t>เดือนที่ปิดการขาย</t>
  </si>
  <si>
    <t>แบ่งจ่าย/งวด
(ตามปีสัญญา)</t>
  </si>
  <si>
    <t>ค่าบริการเฉลี่ยต่อเดือน</t>
  </si>
  <si>
    <t>หัก 3%</t>
  </si>
  <si>
    <t>มี</t>
  </si>
  <si>
    <t>ไม่มี</t>
  </si>
  <si>
    <t>มูลค่าหัก 3%</t>
  </si>
  <si>
    <t>(กรอก)</t>
  </si>
  <si>
    <t>(เลือก)</t>
  </si>
  <si>
    <t>มูลค่าหัก 3%
(ค่าติดตั้ง)</t>
  </si>
  <si>
    <t>หัก ณ ที่จ่าย
(ค่าติตั้ง)</t>
  </si>
  <si>
    <t>หัก ณ ที่จ่าย
(ค่าบริการ)</t>
  </si>
  <si>
    <t>ค่าเชื่อมสัญญาณ/
ค่าติดตั้ง/
ค่าขายอุปกรณ์</t>
  </si>
  <si>
    <t>Total
รายการเบิก
คอมขาย
(1)</t>
  </si>
  <si>
    <t>Total
ค่าเชื่มสัญญาณ/ค่าติดตั้ง/
ค่าขายอุปกรณ์
(2)</t>
  </si>
  <si>
    <t>Total 
คอมฯค่าเชื่อมสัญญาณ
(3)</t>
  </si>
  <si>
    <t>%ค่าคอม</t>
  </si>
  <si>
    <t>หัก ณ ที่จ่าย
(ค่าเชื่อมสัญญาณ)</t>
  </si>
  <si>
    <t>มูลค่าหัก 3%
(ค่าเชื่อมสัญญาณ)</t>
  </si>
  <si>
    <t>ON</t>
  </si>
  <si>
    <t>SKIVL-2411-0052</t>
  </si>
  <si>
    <t>SKSP-2411-0043</t>
  </si>
  <si>
    <t>ONSP-2412-0044</t>
  </si>
  <si>
    <t>ค่าบริการต่อเดือน</t>
  </si>
  <si>
    <t>ค่าเชื่อม/ติดตั้งต่อเดือน</t>
  </si>
  <si>
    <t>Recheck ยอด 10/2567</t>
  </si>
  <si>
    <t>ยอดนี้บริษัทฯไม่จ่าย</t>
  </si>
  <si>
    <t>Cable HLS to UDP</t>
  </si>
  <si>
    <t>Cable HLS to RF</t>
  </si>
  <si>
    <t>ค่าบริการ</t>
  </si>
  <si>
    <t>% ค่าคอมค่าบริการ
(อัตราก้าวหน้า)</t>
  </si>
  <si>
    <t>รายงานสรุปค่าคอมมิชชั่นจากการติดตั้งประจำปี 2568</t>
  </si>
  <si>
    <t>บริษัท อิตัลมาร์ อินเตอร์เทรด จำกัด</t>
  </si>
  <si>
    <t>โครงการ Lumen Hotel Sukhumvit</t>
  </si>
  <si>
    <t>โครงการ Siam Kempinski Hotel Bangkok</t>
  </si>
  <si>
    <t>KEMPIN SIAM CO.,LTD.</t>
  </si>
  <si>
    <t>(ช่องรายการเสริม)</t>
  </si>
  <si>
    <t>LKIVL-2412-0060</t>
  </si>
  <si>
    <t>LK</t>
  </si>
  <si>
    <t>ONIVL-2412-0066</t>
  </si>
  <si>
    <t>ONIVL-2412-0065</t>
  </si>
  <si>
    <t xml:space="preserve">ต้นทุน=(Occupency rate 40% of 397 Room)
158 ห้อง*69= 10,902 บาท/เดือน (ต้นทุน)
</t>
  </si>
  <si>
    <t>ONSP-2501-0100</t>
  </si>
  <si>
    <t>LKSP-2501-0047</t>
  </si>
  <si>
    <t>คุณจันทราภรณ์ 70%/ คุณพัชรพรรณ 30%</t>
  </si>
  <si>
    <t>พัชรพรรณ</t>
  </si>
  <si>
    <t>จันทราภรณ์</t>
  </si>
  <si>
    <t>ค่าติดตั้ง</t>
  </si>
  <si>
    <t>ยอดค่าคอม</t>
  </si>
  <si>
    <t>NOTE</t>
  </si>
  <si>
    <t>บริษัท โกลเด้นแอสเซ็ท จำกัด</t>
  </si>
  <si>
    <t>โครงการ The win Tower Hotel</t>
  </si>
  <si>
    <t>บริษัท บางกอกโฮม แอนด์ สปา จำกัด</t>
  </si>
  <si>
    <t>โครงการ ราชปรารภเพลส อพาร์ทเม้นท์</t>
  </si>
  <si>
    <t>LKIVL-2411-0002</t>
  </si>
  <si>
    <t>LKSP-2501-0046</t>
  </si>
  <si>
    <t>LKIVL-2411-0001</t>
  </si>
  <si>
    <t>RNIVL-2412-0058</t>
  </si>
  <si>
    <t>RNSP-2501-0052</t>
  </si>
  <si>
    <t>RN</t>
  </si>
  <si>
    <t>บริษัท เลอ บอนเฮอร์ จำกัด</t>
  </si>
  <si>
    <t>โครงการ อาคารขายเหมาสะพานควาย</t>
  </si>
  <si>
    <t>ส่งเอกสารตัวจริง</t>
  </si>
  <si>
    <t>Column1</t>
  </si>
  <si>
    <t>ปีที่1</t>
  </si>
  <si>
    <t>ปีที่2</t>
  </si>
  <si>
    <t>ปีที่3</t>
  </si>
  <si>
    <t>ปีที่4</t>
  </si>
  <si>
    <t>ปีที่5</t>
  </si>
  <si>
    <t>จ่าย 1/2025</t>
  </si>
  <si>
    <t>จ่าย 11/2025</t>
  </si>
  <si>
    <t>สรุปรายการเบิกค่าคอมมิชชั่น ประจำเดือน มกราคม 2568</t>
  </si>
  <si>
    <t>เงื่อนไขเดิม</t>
  </si>
  <si>
    <t>ONIVL-2411-0001</t>
  </si>
  <si>
    <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</si>
</sst>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_-* #,##0.00_-;\-* #,##0.00_-;_-* &quot;-&quot;??_-;_-@_-"/>
  </numFmts>
  <fonts count="93">
    <font>
      <sz val="10"/>
      <name val="Arial"/>
    </font>
    <font>
      <b/>
      <sz val="15"/>
      <color theme="3"/>
      <name val="Angsana New"/>
      <family val="2"/>
      <charset val="222"/>
    </font>
    <font>
      <b/>
      <sz val="14"/>
      <color indexed="63"/>
      <name val="Arial"/>
      <family val="2"/>
    </font>
    <font>
      <sz val="10"/>
      <name val="Arial"/>
      <family val="2"/>
    </font>
    <font>
      <sz val="12"/>
      <name val="Arial"/>
      <family val="2"/>
    </font>
    <font>
      <b/>
      <sz val="11"/>
      <color theme="3"/>
      <name val="Angsana New"/>
      <family val="2"/>
      <charset val="222"/>
    </font>
    <font>
      <b/>
      <sz val="14"/>
      <name val="Arial"/>
      <family val="2"/>
    </font>
    <font>
      <b/>
      <sz val="13"/>
      <name val="Arial"/>
      <family val="2"/>
    </font>
    <font>
      <b/>
      <sz val="12"/>
      <name val="Arial"/>
      <family val="2"/>
    </font>
    <font>
      <sz val="11"/>
      <color theme="1"/>
      <name val="Angsana New"/>
      <family val="2"/>
      <charset val="222"/>
    </font>
    <font>
      <sz val="12"/>
      <color indexed="8"/>
      <name val="Arial"/>
      <family val="2"/>
    </font>
    <font>
      <sz val="11"/>
      <color indexed="8"/>
      <name val="Arial"/>
      <family val="2"/>
    </font>
    <font>
      <b/>
      <sz val="11"/>
      <color theme="1"/>
      <name val="Angsana New"/>
      <family val="2"/>
      <charset val="222"/>
    </font>
    <font>
      <sz val="11"/>
      <name val="Arial"/>
      <family val="2"/>
    </font>
    <font>
      <sz val="10"/>
      <name val="Arial"/>
      <family val="2"/>
    </font>
    <font>
      <b/>
      <sz val="12"/>
      <color indexed="63"/>
      <name val="Arial"/>
      <family val="2"/>
    </font>
    <font>
      <b/>
      <sz val="11"/>
      <color indexed="8"/>
      <name val="Arial"/>
      <family val="2"/>
    </font>
    <font>
      <sz val="12"/>
      <color indexed="17"/>
      <name val="Arial"/>
      <family val="2"/>
    </font>
    <font>
      <sz val="11"/>
      <color rgb="FF006100"/>
      <name val="Angsana New"/>
      <family val="2"/>
      <charset val="222"/>
    </font>
    <font>
      <sz val="12"/>
      <color theme="1"/>
      <name val="Arial"/>
      <family val="2"/>
    </font>
    <font>
      <sz val="8"/>
      <name val="Arial"/>
      <family val="2"/>
    </font>
    <font>
      <b/>
      <sz val="18"/>
      <color theme="3"/>
      <name val="Cordia New"/>
      <family val="2"/>
      <charset val="222"/>
    </font>
    <font>
      <b/>
      <sz val="11"/>
      <name val="Arial"/>
      <family val="2"/>
    </font>
    <font>
      <sz val="11"/>
      <color rgb="FF000000"/>
      <name val="Arial"/>
      <family val="2"/>
    </font>
    <font>
      <b/>
      <sz val="11"/>
      <color indexed="56"/>
      <name val="Arial"/>
      <family val="2"/>
    </font>
    <font>
      <sz val="9"/>
      <color rgb="FFFF0000"/>
      <name val="Arial"/>
      <family val="2"/>
    </font>
    <font>
      <b/>
      <sz val="9"/>
      <color rgb="FFFF0000"/>
      <name val="Arial"/>
      <family val="2"/>
    </font>
    <font>
      <sz val="11"/>
      <name val="Arial Black"/>
      <family val="2"/>
    </font>
    <font>
      <b/>
      <sz val="11"/>
      <name val="Tahoma"/>
      <family val="2"/>
    </font>
    <font>
      <b/>
      <sz val="11"/>
      <color indexed="8"/>
      <name val="Tahoma"/>
      <family val="2"/>
    </font>
    <font>
      <sz val="11"/>
      <name val="Tahoma"/>
      <family val="2"/>
    </font>
    <font>
      <sz val="11"/>
      <color indexed="8"/>
      <name val="Tahoma"/>
      <family val="2"/>
    </font>
    <font>
      <sz val="11"/>
      <color rgb="FF000000"/>
      <name val="Tahoma"/>
      <family val="2"/>
    </font>
    <font>
      <b/>
      <sz val="11"/>
      <name val="Arial Black"/>
      <family val="2"/>
      <charset val="222"/>
    </font>
    <font>
      <b/>
      <sz val="11"/>
      <name val="Tahoma"/>
      <family val="2"/>
      <charset val="222"/>
    </font>
    <font>
      <b/>
      <sz val="11"/>
      <color indexed="8"/>
      <name val="Tahoma"/>
      <family val="2"/>
      <charset val="222"/>
    </font>
    <font>
      <sz val="12"/>
      <color rgb="FFFF0000"/>
      <name val="Arial"/>
      <family val="2"/>
    </font>
    <font>
      <b/>
      <sz val="12"/>
      <name val="Tahoma"/>
      <family val="2"/>
    </font>
    <font>
      <b/>
      <sz val="11"/>
      <color rgb="FF000000"/>
      <name val="Arial"/>
      <family val="2"/>
    </font>
    <font>
      <b/>
      <sz val="12"/>
      <color rgb="FF000000"/>
      <name val="Calibri"/>
      <family val="2"/>
    </font>
    <font>
      <sz val="12"/>
      <color indexed="9"/>
      <name val="Arial"/>
      <family val="2"/>
    </font>
    <font>
      <sz val="12"/>
      <name val="Angsana New"/>
      <family val="2"/>
    </font>
    <font>
      <b/>
      <sz val="10"/>
      <color rgb="FFFFFFFF"/>
      <name val="Arial"/>
      <family val="2"/>
    </font>
    <font>
      <sz val="10"/>
      <color theme="1"/>
      <name val="Calibri"/>
      <family val="2"/>
      <scheme val="minor"/>
    </font>
    <font>
      <b/>
      <sz val="11"/>
      <color rgb="FFFF0000"/>
      <name val="Arial"/>
      <family val="2"/>
    </font>
    <font>
      <sz val="14"/>
      <name val="Arial"/>
      <family val="2"/>
    </font>
    <font>
      <sz val="14"/>
      <color indexed="8"/>
      <name val="Arial"/>
      <family val="2"/>
    </font>
    <font>
      <sz val="14"/>
      <color theme="1"/>
      <name val="Arial"/>
      <family val="2"/>
    </font>
    <font>
      <b/>
      <sz val="12"/>
      <name val="Arial Black"/>
      <family val="2"/>
    </font>
    <font>
      <b/>
      <sz val="12"/>
      <color indexed="40"/>
      <name val="Tahoma"/>
      <family val="2"/>
    </font>
    <font>
      <sz val="14"/>
      <color theme="0"/>
      <name val="Arial"/>
      <family val="2"/>
    </font>
    <font>
      <b/>
      <sz val="12"/>
      <color indexed="10"/>
      <name val="Arial"/>
      <family val="2"/>
    </font>
    <font>
      <b/>
      <sz val="11"/>
      <color theme="1"/>
      <name val="Arial"/>
      <family val="2"/>
    </font>
    <font>
      <b/>
      <sz val="14"/>
      <color rgb="FF000000"/>
      <name val="Calibri"/>
      <family val="2"/>
    </font>
    <font>
      <b/>
      <sz val="14"/>
      <color indexed="8"/>
      <name val="Arial"/>
      <family val="2"/>
    </font>
    <font>
      <b/>
      <u/>
      <sz val="11"/>
      <name val="Tahoma"/>
      <family val="2"/>
    </font>
    <font>
      <b/>
      <sz val="11"/>
      <color theme="0"/>
      <name val="Arial"/>
      <family val="2"/>
    </font>
    <font>
      <sz val="11"/>
      <color rgb="FF0000FF"/>
      <name val="Tahoma"/>
      <family val="2"/>
    </font>
    <font>
      <sz val="11"/>
      <color rgb="FF0000FF"/>
      <name val="Arial"/>
      <family val="2"/>
    </font>
    <font>
      <sz val="12"/>
      <color rgb="FF0000FF"/>
      <name val="Arial"/>
      <family val="2"/>
    </font>
    <font>
      <sz val="11"/>
      <color theme="1"/>
      <name val="Arial"/>
      <family val="2"/>
    </font>
    <font>
      <sz val="9"/>
      <color theme="1"/>
      <name val="Arial"/>
      <family val="2"/>
    </font>
    <font>
      <b/>
      <sz val="18"/>
      <name val="Arial"/>
      <family val="2"/>
    </font>
    <font>
      <b/>
      <sz val="10"/>
      <color theme="0"/>
      <name val="Arial"/>
      <family val="2"/>
    </font>
    <font>
      <b/>
      <sz val="14"/>
      <color theme="2" tint="-0.499984740745262"/>
      <name val="Arial"/>
      <family val="2"/>
    </font>
    <font>
      <sz val="14"/>
      <color theme="2" tint="-0.499984740745262"/>
      <name val="Arial"/>
      <family val="2"/>
    </font>
    <font>
      <b/>
      <sz val="14"/>
      <color theme="1"/>
      <name val="Arial"/>
      <family val="2"/>
    </font>
    <font>
      <b/>
      <sz val="14"/>
      <color indexed="63"/>
      <name val="Tahoma"/>
      <family val="2"/>
    </font>
    <font>
      <b/>
      <sz val="14"/>
      <color theme="2" tint="-0.499984740745262"/>
      <name val="Tahoma"/>
      <family val="2"/>
    </font>
    <font>
      <sz val="14"/>
      <name val="Tahoma"/>
      <family val="2"/>
    </font>
    <font>
      <b/>
      <sz val="14"/>
      <name val="Tahoma"/>
      <family val="2"/>
    </font>
    <font>
      <b/>
      <sz val="14"/>
      <color theme="0"/>
      <name val="Tahoma"/>
      <family val="2"/>
    </font>
    <font>
      <b/>
      <sz val="14"/>
      <color theme="1"/>
      <name val="Tahoma"/>
      <family val="2"/>
    </font>
    <font>
      <sz val="14"/>
      <color theme="1"/>
      <name val="Tahoma"/>
      <family val="2"/>
    </font>
    <font>
      <sz val="14"/>
      <color indexed="8"/>
      <name val="Tahoma"/>
      <family val="2"/>
    </font>
    <font>
      <b/>
      <sz val="14"/>
      <color indexed="8"/>
      <name val="Tahoma"/>
      <family val="2"/>
    </font>
    <font>
      <b/>
      <sz val="14"/>
      <color rgb="FF000000"/>
      <name val="Tahoma"/>
      <family val="2"/>
    </font>
    <font>
      <sz val="14"/>
      <color theme="2" tint="-0.499984740745262"/>
      <name val="Tahoma"/>
      <family val="2"/>
    </font>
    <font>
      <sz val="14"/>
      <color indexed="9"/>
      <name val="Tahoma"/>
      <family val="2"/>
    </font>
    <font>
      <sz val="14"/>
      <color rgb="FF0000FF"/>
      <name val="Tahoma"/>
      <family val="2"/>
    </font>
    <font>
      <b/>
      <sz val="14"/>
      <color indexed="10"/>
      <name val="Tahoma"/>
      <family val="2"/>
    </font>
    <font>
      <b/>
      <sz val="16"/>
      <name val="Tahoma"/>
      <family val="2"/>
    </font>
    <font>
      <b/>
      <sz val="16"/>
      <color theme="0"/>
      <name val="Tahoma"/>
      <family val="2"/>
    </font>
    <font>
      <u/>
      <sz val="14"/>
      <color theme="0"/>
      <name val="Tahoma"/>
      <family val="2"/>
    </font>
    <font>
      <sz val="14"/>
      <color theme="0"/>
      <name val="Tahoma"/>
      <family val="2"/>
    </font>
    <font>
      <b/>
      <u val="singleAccounting"/>
      <sz val="18"/>
      <name val="Arial"/>
      <family val="2"/>
    </font>
    <font>
      <sz val="14"/>
      <color rgb="FFC00000"/>
      <name val="Tahoma"/>
      <family val="2"/>
    </font>
    <font>
      <sz val="12"/>
      <color rgb="FF0000FF"/>
      <name val="Tahoma"/>
      <family val="2"/>
    </font>
    <font>
      <sz val="14"/>
      <color theme="0" tint="-0.499984740745262"/>
      <name val="Tahoma"/>
      <family val="2"/>
    </font>
    <font>
      <b/>
      <sz val="9"/>
      <name val="Arial"/>
      <family val="2"/>
    </font>
    <font>
      <b/>
      <sz val="11"/>
      <color rgb="FF0000FF"/>
      <name val="Tahoma"/>
      <family val="2"/>
    </font>
    <font>
      <sz val="10"/>
      <name val="Tahoma"/>
      <family val="2"/>
    </font>
    <font>
      <b/>
      <sz val="10"/>
      <name val="Tahoma"/>
      <family val="2"/>
    </font>
  </fonts>
  <fills count="39">
    <fill>
      <patternFill patternType="none"/>
    </fill>
    <fill>
      <patternFill patternType="gray125"/>
    </fill>
    <fill>
      <patternFill patternType="solid">
        <fgColor rgb="FFC6EFCE"/>
      </patternFill>
    </fill>
    <fill>
      <patternFill patternType="solid">
        <fgColor theme="6" tint="0.59999389629810485"/>
        <bgColor indexed="65"/>
      </patternFill>
    </fill>
    <fill>
      <patternFill patternType="solid">
        <fgColor theme="8" tint="0.59999389629810485"/>
        <bgColor indexed="65"/>
      </patternFill>
    </fill>
    <fill>
      <patternFill patternType="solid">
        <fgColor indexed="9"/>
        <bgColor indexed="64"/>
      </patternFill>
    </fill>
    <fill>
      <patternFill patternType="solid">
        <fgColor indexed="22"/>
        <bgColor indexed="64"/>
      </patternFill>
    </fill>
    <fill>
      <patternFill patternType="solid">
        <fgColor rgb="FFFFC000"/>
        <bgColor indexed="64"/>
      </patternFill>
    </fill>
    <fill>
      <patternFill patternType="solid">
        <fgColor theme="0" tint="-4.9989318521683403E-2"/>
        <bgColor indexed="64"/>
      </patternFill>
    </fill>
    <fill>
      <patternFill patternType="solid">
        <fgColor indexed="22"/>
        <bgColor indexed="22"/>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rgb="FFBDD6EE"/>
        <bgColor rgb="FFBDD6EE"/>
      </patternFill>
    </fill>
    <fill>
      <patternFill patternType="solid">
        <fgColor rgb="FFFFC000"/>
        <bgColor rgb="FFBDD6EE"/>
      </patternFill>
    </fill>
    <fill>
      <patternFill patternType="solid">
        <fgColor rgb="FF000090"/>
        <bgColor rgb="FF000090"/>
      </patternFill>
    </fill>
    <fill>
      <patternFill patternType="solid">
        <fgColor rgb="FFFFC000"/>
        <bgColor rgb="FFFFC000"/>
      </patternFill>
    </fill>
    <fill>
      <patternFill patternType="solid">
        <fgColor theme="5"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8" tint="0.59999389629810485"/>
        <bgColor rgb="FFBDD6EE"/>
      </patternFill>
    </fill>
    <fill>
      <patternFill patternType="solid">
        <fgColor theme="8"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9FFDD"/>
        <bgColor indexed="64"/>
      </patternFill>
    </fill>
    <fill>
      <patternFill patternType="solid">
        <fgColor theme="7" tint="0.79998168889431442"/>
        <bgColor indexed="64"/>
      </patternFill>
    </fill>
    <fill>
      <patternFill patternType="solid">
        <fgColor rgb="FFDACCFC"/>
        <bgColor indexed="22"/>
      </patternFill>
    </fill>
    <fill>
      <patternFill patternType="solid">
        <fgColor rgb="FFDACCFC"/>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rgb="FF000099"/>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rgb="FFFDE9F4"/>
        <bgColor indexed="64"/>
      </patternFill>
    </fill>
  </fills>
  <borders count="127">
    <border>
      <left/>
      <right/>
      <top/>
      <bottom/>
      <diagonal/>
    </border>
    <border>
      <left/>
      <right/>
      <top/>
      <bottom style="thick">
        <color theme="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53"/>
      </top>
      <bottom/>
      <diagonal/>
    </border>
    <border>
      <left style="thin">
        <color indexed="64"/>
      </left>
      <right style="thin">
        <color indexed="64"/>
      </right>
      <top style="medium">
        <color indexed="53"/>
      </top>
      <bottom style="hair">
        <color indexed="53"/>
      </bottom>
      <diagonal/>
    </border>
    <border>
      <left style="thin">
        <color indexed="64"/>
      </left>
      <right style="thin">
        <color indexed="64"/>
      </right>
      <top style="hair">
        <color indexed="64"/>
      </top>
      <bottom style="hair">
        <color indexed="64"/>
      </bottom>
      <diagonal/>
    </border>
    <border>
      <left/>
      <right style="thin">
        <color indexed="64"/>
      </right>
      <top style="hair">
        <color indexed="53"/>
      </top>
      <bottom style="hair">
        <color indexed="53"/>
      </bottom>
      <diagonal/>
    </border>
    <border>
      <left style="thin">
        <color indexed="64"/>
      </left>
      <right style="thin">
        <color indexed="64"/>
      </right>
      <top style="hair">
        <color indexed="53"/>
      </top>
      <bottom style="hair">
        <color indexed="53"/>
      </bottom>
      <diagonal/>
    </border>
    <border>
      <left/>
      <right style="thin">
        <color indexed="64"/>
      </right>
      <top style="medium">
        <color indexed="53"/>
      </top>
      <bottom style="hair">
        <color indexed="5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53"/>
      </top>
      <bottom style="dotted">
        <color indexed="53"/>
      </bottom>
      <diagonal/>
    </border>
    <border>
      <left style="thin">
        <color indexed="64"/>
      </left>
      <right style="thin">
        <color indexed="64"/>
      </right>
      <top style="hair">
        <color indexed="53"/>
      </top>
      <bottom/>
      <diagonal/>
    </border>
    <border>
      <left/>
      <right style="thin">
        <color indexed="64"/>
      </right>
      <top style="medium">
        <color indexed="53"/>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hair">
        <color indexed="53"/>
      </top>
      <bottom style="hair">
        <color indexed="53"/>
      </bottom>
      <diagonal/>
    </border>
    <border>
      <left style="medium">
        <color indexed="64"/>
      </left>
      <right style="thin">
        <color indexed="64"/>
      </right>
      <top/>
      <bottom/>
      <diagonal/>
    </border>
    <border>
      <left style="medium">
        <color indexed="64"/>
      </left>
      <right style="thin">
        <color indexed="64"/>
      </right>
      <top style="medium">
        <color indexed="53"/>
      </top>
      <bottom style="hair">
        <color indexed="53"/>
      </bottom>
      <diagonal/>
    </border>
    <border>
      <left style="medium">
        <color indexed="64"/>
      </left>
      <right style="thin">
        <color indexed="64"/>
      </right>
      <top style="medium">
        <color indexed="53"/>
      </top>
      <bottom/>
      <diagonal/>
    </border>
    <border>
      <left style="medium">
        <color indexed="64"/>
      </left>
      <right style="thin">
        <color indexed="64"/>
      </right>
      <top style="dotted">
        <color indexed="53"/>
      </top>
      <bottom style="dotted">
        <color indexed="53"/>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hair">
        <color indexed="53"/>
      </top>
      <bottom style="hair">
        <color indexed="53"/>
      </bottom>
      <diagonal/>
    </border>
    <border>
      <left/>
      <right style="medium">
        <color indexed="64"/>
      </right>
      <top/>
      <bottom/>
      <diagonal/>
    </border>
    <border>
      <left/>
      <right/>
      <top style="hair">
        <color indexed="53"/>
      </top>
      <bottom style="hair">
        <color indexed="53"/>
      </bottom>
      <diagonal/>
    </border>
    <border>
      <left/>
      <right/>
      <top style="medium">
        <color indexed="53"/>
      </top>
      <bottom/>
      <diagonal/>
    </border>
    <border>
      <left/>
      <right/>
      <top style="dotted">
        <color indexed="53"/>
      </top>
      <bottom style="dotted">
        <color indexed="53"/>
      </bottom>
      <diagonal/>
    </border>
    <border>
      <left/>
      <right/>
      <top style="hair">
        <color indexed="53"/>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hair">
        <color indexed="53"/>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medium">
        <color indexed="64"/>
      </left>
      <right style="thin">
        <color indexed="64"/>
      </right>
      <top/>
      <bottom style="hair">
        <color indexed="53"/>
      </bottom>
      <diagonal/>
    </border>
    <border>
      <left/>
      <right style="thin">
        <color indexed="64"/>
      </right>
      <top/>
      <bottom style="hair">
        <color indexed="53"/>
      </bottom>
      <diagonal/>
    </border>
    <border>
      <left style="thin">
        <color indexed="64"/>
      </left>
      <right style="thin">
        <color indexed="64"/>
      </right>
      <top/>
      <bottom style="hair">
        <color indexed="53"/>
      </bottom>
      <diagonal/>
    </border>
    <border>
      <left/>
      <right/>
      <top/>
      <bottom style="hair">
        <color indexed="53"/>
      </bottom>
      <diagonal/>
    </border>
    <border>
      <left style="medium">
        <color indexed="64"/>
      </left>
      <right style="thin">
        <color indexed="64"/>
      </right>
      <top style="medium">
        <color indexed="64"/>
      </top>
      <bottom style="hair">
        <color indexed="53"/>
      </bottom>
      <diagonal/>
    </border>
    <border>
      <left/>
      <right style="thin">
        <color indexed="64"/>
      </right>
      <top style="medium">
        <color indexed="64"/>
      </top>
      <bottom style="hair">
        <color indexed="53"/>
      </bottom>
      <diagonal/>
    </border>
    <border>
      <left/>
      <right style="medium">
        <color indexed="64"/>
      </right>
      <top style="medium">
        <color indexed="64"/>
      </top>
      <bottom style="hair">
        <color indexed="5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right/>
      <top/>
      <bottom style="dotted">
        <color theme="8" tint="0.39997558519241921"/>
      </bottom>
      <diagonal/>
    </border>
    <border>
      <left/>
      <right style="thin">
        <color indexed="64"/>
      </right>
      <top style="medium">
        <color indexed="53"/>
      </top>
      <bottom style="dotted">
        <color theme="8" tint="0.39997558519241921"/>
      </bottom>
      <diagonal/>
    </border>
    <border>
      <left style="thin">
        <color indexed="64"/>
      </left>
      <right style="thin">
        <color indexed="64"/>
      </right>
      <top style="medium">
        <color indexed="53"/>
      </top>
      <bottom style="dotted">
        <color theme="8" tint="0.39997558519241921"/>
      </bottom>
      <diagonal/>
    </border>
    <border>
      <left/>
      <right/>
      <top style="dotted">
        <color theme="8" tint="0.39997558519241921"/>
      </top>
      <bottom style="dotted">
        <color theme="8" tint="0.39997558519241921"/>
      </bottom>
      <diagonal/>
    </border>
    <border>
      <left/>
      <right style="thin">
        <color indexed="64"/>
      </right>
      <top style="dotted">
        <color theme="8" tint="0.39997558519241921"/>
      </top>
      <bottom style="dotted">
        <color theme="8" tint="0.39997558519241921"/>
      </bottom>
      <diagonal/>
    </border>
    <border>
      <left style="thin">
        <color indexed="64"/>
      </left>
      <right style="thin">
        <color indexed="64"/>
      </right>
      <top style="dotted">
        <color theme="8" tint="0.39997558519241921"/>
      </top>
      <bottom style="dotted">
        <color theme="8" tint="0.39997558519241921"/>
      </bottom>
      <diagonal/>
    </border>
    <border>
      <left style="medium">
        <color rgb="FF000000"/>
      </left>
      <right style="medium">
        <color rgb="FF000000"/>
      </right>
      <top style="medium">
        <color rgb="FF000000"/>
      </top>
      <bottom/>
      <diagonal/>
    </border>
    <border>
      <left style="thin">
        <color indexed="64"/>
      </left>
      <right/>
      <top/>
      <bottom/>
      <diagonal/>
    </border>
    <border>
      <left style="thin">
        <color indexed="64"/>
      </left>
      <right/>
      <top style="medium">
        <color indexed="53"/>
      </top>
      <bottom style="dotted">
        <color theme="8" tint="0.39997558519241921"/>
      </bottom>
      <diagonal/>
    </border>
    <border>
      <left style="thin">
        <color indexed="64"/>
      </left>
      <right/>
      <top style="dotted">
        <color theme="8" tint="0.39997558519241921"/>
      </top>
      <bottom style="dotted">
        <color theme="8" tint="0.39997558519241921"/>
      </bottom>
      <diagonal/>
    </border>
    <border>
      <left style="thin">
        <color indexed="64"/>
      </left>
      <right style="thin">
        <color indexed="64"/>
      </right>
      <top/>
      <bottom style="double">
        <color indexed="64"/>
      </bottom>
      <diagonal/>
    </border>
    <border>
      <left style="medium">
        <color indexed="64"/>
      </left>
      <right style="thin">
        <color indexed="64"/>
      </right>
      <top style="medium">
        <color indexed="53"/>
      </top>
      <bottom style="dotted">
        <color theme="8" tint="0.39997558519241921"/>
      </bottom>
      <diagonal/>
    </border>
    <border>
      <left style="thin">
        <color indexed="64"/>
      </left>
      <right style="medium">
        <color indexed="64"/>
      </right>
      <top style="medium">
        <color indexed="53"/>
      </top>
      <bottom style="dotted">
        <color theme="8" tint="0.39997558519241921"/>
      </bottom>
      <diagonal/>
    </border>
    <border>
      <left style="medium">
        <color indexed="64"/>
      </left>
      <right style="thin">
        <color indexed="64"/>
      </right>
      <top style="dotted">
        <color theme="8" tint="0.39997558519241921"/>
      </top>
      <bottom style="dotted">
        <color theme="8" tint="0.39997558519241921"/>
      </bottom>
      <diagonal/>
    </border>
    <border>
      <left style="thin">
        <color indexed="64"/>
      </left>
      <right style="medium">
        <color indexed="64"/>
      </right>
      <top style="dotted">
        <color theme="8" tint="0.39997558519241921"/>
      </top>
      <bottom style="dotted">
        <color theme="8" tint="0.39997558519241921"/>
      </bottom>
      <diagonal/>
    </border>
    <border>
      <left style="medium">
        <color rgb="FF000000"/>
      </left>
      <right/>
      <top style="medium">
        <color rgb="FF000000"/>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thin">
        <color indexed="64"/>
      </right>
      <top style="dotted">
        <color theme="8" tint="0.39997558519241921"/>
      </top>
      <bottom style="medium">
        <color theme="5"/>
      </bottom>
      <diagonal/>
    </border>
    <border>
      <left/>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53"/>
      </top>
      <bottom style="dotted">
        <color theme="8" tint="0.39997558519241921"/>
      </bottom>
      <diagonal/>
    </border>
    <border>
      <left/>
      <right style="medium">
        <color indexed="64"/>
      </right>
      <top style="dotted">
        <color theme="8" tint="0.39997558519241921"/>
      </top>
      <bottom style="dotted">
        <color theme="8" tint="0.3999755851924192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indexed="64"/>
      </left>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medium">
        <color indexed="64"/>
      </right>
      <top style="thin">
        <color indexed="64"/>
      </top>
      <bottom style="double">
        <color indexed="64"/>
      </bottom>
      <diagonal/>
    </border>
    <border>
      <left/>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53"/>
      </top>
      <bottom style="dotted">
        <color theme="8" tint="0.39997558519241921"/>
      </bottom>
      <diagonal/>
    </border>
    <border>
      <left style="hair">
        <color indexed="64"/>
      </left>
      <right style="hair">
        <color indexed="64"/>
      </right>
      <top style="medium">
        <color indexed="53"/>
      </top>
      <bottom style="dotted">
        <color theme="8" tint="0.39997558519241921"/>
      </bottom>
      <diagonal/>
    </border>
    <border>
      <left style="hair">
        <color indexed="64"/>
      </left>
      <right style="hair">
        <color indexed="64"/>
      </right>
      <top style="dotted">
        <color theme="8" tint="0.39997558519241921"/>
      </top>
      <bottom style="dotted">
        <color theme="8" tint="0.39997558519241921"/>
      </bottom>
      <diagonal/>
    </border>
    <border>
      <left style="medium">
        <color indexed="64"/>
      </left>
      <right style="hair">
        <color indexed="64"/>
      </right>
      <top/>
      <bottom style="medium">
        <color indexed="53"/>
      </bottom>
      <diagonal/>
    </border>
    <border>
      <left style="hair">
        <color indexed="64"/>
      </left>
      <right style="hair">
        <color indexed="64"/>
      </right>
      <top/>
      <bottom style="medium">
        <color indexed="53"/>
      </bottom>
      <diagonal/>
    </border>
    <border>
      <left style="hair">
        <color indexed="64"/>
      </left>
      <right style="medium">
        <color indexed="64"/>
      </right>
      <top/>
      <bottom style="medium">
        <color indexed="53"/>
      </bottom>
      <diagonal/>
    </border>
    <border>
      <left style="medium">
        <color indexed="64"/>
      </left>
      <right style="hair">
        <color indexed="64"/>
      </right>
      <top style="dotted">
        <color theme="8" tint="0.39997558519241921"/>
      </top>
      <bottom style="dotted">
        <color theme="8" tint="0.39997558519241921"/>
      </bottom>
      <diagonal/>
    </border>
    <border>
      <left/>
      <right style="hair">
        <color indexed="64"/>
      </right>
      <top style="medium">
        <color indexed="53"/>
      </top>
      <bottom style="dotted">
        <color theme="8" tint="0.39997558519241921"/>
      </bottom>
      <diagonal/>
    </border>
    <border>
      <left/>
      <right style="hair">
        <color indexed="64"/>
      </right>
      <top style="dotted">
        <color theme="8" tint="0.39997558519241921"/>
      </top>
      <bottom style="dotted">
        <color theme="8" tint="0.39997558519241921"/>
      </bottom>
      <diagonal/>
    </border>
    <border>
      <left/>
      <right style="hair">
        <color indexed="64"/>
      </right>
      <top/>
      <bottom style="medium">
        <color indexed="53"/>
      </bottom>
      <diagonal/>
    </border>
    <border>
      <left style="medium">
        <color indexed="64"/>
      </left>
      <right style="hair">
        <color indexed="64"/>
      </right>
      <top style="medium">
        <color indexed="53"/>
      </top>
      <bottom style="dotted">
        <color theme="8" tint="0.39997558519241921"/>
      </bottom>
      <diagonal/>
    </border>
    <border>
      <left style="hair">
        <color indexed="64"/>
      </left>
      <right style="medium">
        <color indexed="64"/>
      </right>
      <top style="dotted">
        <color theme="8" tint="0.39997558519241921"/>
      </top>
      <bottom style="medium">
        <color indexed="53"/>
      </bottom>
      <diagonal/>
    </border>
  </borders>
  <cellStyleXfs count="14">
    <xf numFmtId="0" fontId="0" fillId="0" borderId="0"/>
    <xf numFmtId="43" fontId="3" fillId="0" borderId="0" applyFont="0" applyFill="0" applyBorder="0" applyAlignment="0" applyProtection="0"/>
    <xf numFmtId="44" fontId="3" fillId="0" borderId="0" applyFont="0" applyFill="0" applyBorder="0" applyAlignment="0" applyProtection="0"/>
    <xf numFmtId="0" fontId="1" fillId="0" borderId="1" applyNumberFormat="0" applyFill="0" applyAlignment="0" applyProtection="0"/>
    <xf numFmtId="0" fontId="5" fillId="0" borderId="0" applyNumberFormat="0" applyFill="0" applyBorder="0" applyAlignment="0" applyProtection="0"/>
    <xf numFmtId="0" fontId="18" fillId="2" borderId="0" applyNumberFormat="0" applyBorder="0" applyAlignment="0" applyProtection="0"/>
    <xf numFmtId="0" fontId="12" fillId="0" borderId="2" applyNumberFormat="0" applyFill="0" applyAlignment="0" applyProtection="0"/>
    <xf numFmtId="0" fontId="9" fillId="3" borderId="0" applyNumberFormat="0" applyBorder="0" applyAlignment="0" applyProtection="0"/>
    <xf numFmtId="0" fontId="9" fillId="4" borderId="0" applyNumberFormat="0" applyBorder="0" applyAlignment="0" applyProtection="0"/>
    <xf numFmtId="9" fontId="3" fillId="0" borderId="0" applyFont="0" applyFill="0" applyBorder="0" applyAlignment="0" applyProtection="0"/>
    <xf numFmtId="0" fontId="21" fillId="0" borderId="0" applyNumberFormat="0" applyFill="0" applyBorder="0" applyAlignment="0" applyProtection="0"/>
    <xf numFmtId="43" fontId="14" fillId="0" borderId="0" applyFont="0" applyFill="0" applyBorder="0" applyAlignment="0" applyProtection="0"/>
    <xf numFmtId="0" fontId="14" fillId="0" borderId="0"/>
    <xf numFmtId="0" fontId="5" fillId="0" borderId="0" applyNumberFormat="0" applyFill="0" applyBorder="0" applyAlignment="0" applyProtection="0"/>
  </cellStyleXfs>
  <cellXfs count="848">
    <xf numFmtId="0" fontId="0" fillId="0" borderId="0" xfId="0"/>
    <xf numFmtId="0" fontId="2" fillId="0" borderId="0" xfId="3" applyFont="1" applyBorder="1" applyAlignment="1" applyProtection="1">
      <alignment horizontal="centerContinuous"/>
      <protection locked="0"/>
    </xf>
    <xf numFmtId="0" fontId="2" fillId="0" borderId="0" xfId="3" applyFont="1" applyBorder="1" applyAlignment="1" applyProtection="1">
      <alignment horizontal="center"/>
      <protection locked="0"/>
    </xf>
    <xf numFmtId="0" fontId="4" fillId="0" borderId="0" xfId="0" applyFont="1" applyProtection="1">
      <protection locked="0"/>
    </xf>
    <xf numFmtId="43" fontId="4" fillId="0" borderId="0" xfId="1" applyFont="1" applyProtection="1">
      <protection locked="0"/>
    </xf>
    <xf numFmtId="0" fontId="7" fillId="0" borderId="0" xfId="4" applyFont="1" applyAlignment="1" applyProtection="1">
      <alignment horizontal="centerContinuous" vertical="center"/>
      <protection locked="0"/>
    </xf>
    <xf numFmtId="0" fontId="7" fillId="0" borderId="0" xfId="4" applyFont="1" applyAlignment="1" applyProtection="1">
      <alignment horizontal="center" vertical="center"/>
      <protection locked="0"/>
    </xf>
    <xf numFmtId="0" fontId="6" fillId="0" borderId="0" xfId="0" applyFont="1" applyProtection="1">
      <protection locked="0"/>
    </xf>
    <xf numFmtId="0" fontId="8" fillId="0" borderId="0" xfId="0" applyFont="1" applyAlignment="1" applyProtection="1">
      <alignment horizontal="center"/>
      <protection locked="0"/>
    </xf>
    <xf numFmtId="4" fontId="8" fillId="0" borderId="0" xfId="1" applyNumberFormat="1" applyFont="1" applyAlignment="1" applyProtection="1">
      <alignment horizontal="center"/>
      <protection locked="0"/>
    </xf>
    <xf numFmtId="43" fontId="8" fillId="0" borderId="0" xfId="1" applyFont="1" applyAlignment="1" applyProtection="1">
      <alignment horizontal="center"/>
      <protection locked="0"/>
    </xf>
    <xf numFmtId="4" fontId="4" fillId="0" borderId="0" xfId="1" applyNumberFormat="1" applyFont="1" applyProtection="1">
      <protection locked="0"/>
    </xf>
    <xf numFmtId="0" fontId="4" fillId="0" borderId="0" xfId="1" applyNumberFormat="1" applyFont="1" applyProtection="1">
      <protection locked="0"/>
    </xf>
    <xf numFmtId="0" fontId="4" fillId="0" borderId="0" xfId="1" applyNumberFormat="1" applyFont="1" applyAlignment="1" applyProtection="1">
      <alignment horizontal="center"/>
      <protection locked="0"/>
    </xf>
    <xf numFmtId="0" fontId="8" fillId="0" borderId="0" xfId="0" applyFont="1" applyAlignment="1" applyProtection="1">
      <alignment horizontal="left"/>
      <protection locked="0"/>
    </xf>
    <xf numFmtId="0" fontId="10" fillId="5" borderId="0" xfId="8"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0" fillId="0" borderId="8" xfId="6" applyFont="1" applyBorder="1" applyAlignment="1" applyProtection="1">
      <alignment shrinkToFit="1"/>
      <protection locked="0"/>
    </xf>
    <xf numFmtId="44" fontId="8" fillId="0" borderId="0" xfId="2" applyFont="1" applyAlignment="1" applyProtection="1">
      <alignment horizontal="centerContinuous"/>
      <protection locked="0"/>
    </xf>
    <xf numFmtId="44" fontId="8" fillId="0" borderId="0" xfId="2" applyFont="1" applyAlignment="1" applyProtection="1">
      <alignment horizontal="center"/>
      <protection locked="0"/>
    </xf>
    <xf numFmtId="4" fontId="17" fillId="5" borderId="0" xfId="1" applyNumberFormat="1" applyFont="1" applyFill="1" applyProtection="1">
      <protection locked="0"/>
    </xf>
    <xf numFmtId="4" fontId="17" fillId="5" borderId="0" xfId="5" applyNumberFormat="1" applyFont="1" applyFill="1" applyAlignment="1" applyProtection="1">
      <alignment horizontal="center"/>
      <protection locked="0"/>
    </xf>
    <xf numFmtId="4" fontId="8" fillId="0" borderId="0" xfId="0" applyNumberFormat="1" applyFont="1" applyProtection="1">
      <protection locked="0"/>
    </xf>
    <xf numFmtId="0" fontId="8" fillId="0" borderId="0" xfId="1" applyNumberFormat="1" applyFont="1" applyAlignment="1" applyProtection="1">
      <alignment horizontal="center"/>
      <protection locked="0"/>
    </xf>
    <xf numFmtId="4" fontId="15" fillId="0" borderId="0" xfId="1" applyNumberFormat="1" applyFont="1" applyProtection="1">
      <protection locked="0"/>
    </xf>
    <xf numFmtId="43" fontId="15" fillId="0" borderId="0" xfId="1" applyFont="1" applyProtection="1">
      <protection locked="0"/>
    </xf>
    <xf numFmtId="43" fontId="4" fillId="0" borderId="0" xfId="0" applyNumberFormat="1" applyFont="1" applyProtection="1">
      <protection locked="0"/>
    </xf>
    <xf numFmtId="0" fontId="10" fillId="0" borderId="6" xfId="6" applyFont="1" applyBorder="1" applyAlignment="1" applyProtection="1">
      <alignment horizontal="center" shrinkToFit="1"/>
      <protection locked="0"/>
    </xf>
    <xf numFmtId="0" fontId="10" fillId="0" borderId="8" xfId="6" applyFont="1" applyBorder="1" applyAlignment="1" applyProtection="1">
      <alignment horizontal="center" shrinkToFit="1"/>
      <protection locked="0"/>
    </xf>
    <xf numFmtId="0" fontId="4" fillId="0" borderId="4" xfId="6" applyFont="1" applyBorder="1" applyAlignment="1" applyProtection="1">
      <alignment horizontal="center" shrinkToFit="1"/>
      <protection locked="0"/>
    </xf>
    <xf numFmtId="0" fontId="4" fillId="0" borderId="0" xfId="0" applyFont="1" applyAlignment="1" applyProtection="1">
      <alignment horizontal="center"/>
      <protection locked="0"/>
    </xf>
    <xf numFmtId="43" fontId="4" fillId="0" borderId="0" xfId="1" applyFont="1" applyAlignment="1" applyProtection="1">
      <alignment horizontal="center"/>
      <protection locked="0"/>
    </xf>
    <xf numFmtId="43" fontId="4" fillId="0" borderId="0" xfId="0" applyNumberFormat="1" applyFont="1" applyAlignment="1" applyProtection="1">
      <alignment horizontal="center"/>
      <protection locked="0"/>
    </xf>
    <xf numFmtId="43" fontId="10" fillId="0" borderId="6" xfId="1" applyFont="1" applyBorder="1" applyAlignment="1" applyProtection="1">
      <alignment horizontal="center" shrinkToFit="1"/>
      <protection locked="0"/>
    </xf>
    <xf numFmtId="43" fontId="10" fillId="0" borderId="8" xfId="1" applyFont="1" applyBorder="1" applyAlignment="1" applyProtection="1">
      <alignment horizontal="center" shrinkToFit="1"/>
      <protection locked="0"/>
    </xf>
    <xf numFmtId="43" fontId="4" fillId="0" borderId="4" xfId="1" applyFont="1" applyBorder="1" applyAlignment="1" applyProtection="1">
      <alignment horizontal="center" shrinkToFit="1"/>
      <protection locked="0"/>
    </xf>
    <xf numFmtId="0" fontId="10" fillId="0" borderId="8" xfId="1" applyNumberFormat="1" applyFont="1" applyBorder="1" applyAlignment="1" applyProtection="1">
      <alignment horizontal="center" shrinkToFit="1"/>
      <protection locked="0"/>
    </xf>
    <xf numFmtId="0" fontId="4" fillId="0" borderId="4" xfId="1" applyNumberFormat="1" applyFont="1" applyBorder="1" applyAlignment="1" applyProtection="1">
      <alignment horizontal="center" shrinkToFit="1"/>
      <protection locked="0"/>
    </xf>
    <xf numFmtId="43" fontId="2" fillId="0" borderId="0" xfId="1" applyFont="1" applyBorder="1" applyAlignment="1" applyProtection="1">
      <alignment horizontal="centerContinuous"/>
      <protection locked="0"/>
    </xf>
    <xf numFmtId="43" fontId="7" fillId="0" borderId="0" xfId="1" applyFont="1" applyAlignment="1" applyProtection="1">
      <alignment horizontal="centerContinuous" vertical="center"/>
      <protection locked="0"/>
    </xf>
    <xf numFmtId="43" fontId="10" fillId="0" borderId="8" xfId="1" applyFont="1" applyBorder="1" applyAlignment="1" applyProtection="1">
      <alignment shrinkToFit="1"/>
      <protection locked="0"/>
    </xf>
    <xf numFmtId="43" fontId="4" fillId="0" borderId="4" xfId="1" applyFont="1" applyBorder="1" applyAlignment="1" applyProtection="1">
      <alignment horizontal="left" shrinkToFit="1"/>
      <protection locked="0"/>
    </xf>
    <xf numFmtId="0" fontId="2" fillId="0" borderId="0" xfId="1" applyNumberFormat="1" applyFont="1" applyBorder="1" applyAlignment="1" applyProtection="1">
      <alignment horizontal="centerContinuous"/>
      <protection locked="0"/>
    </xf>
    <xf numFmtId="0" fontId="7" fillId="0" borderId="0" xfId="1" applyNumberFormat="1" applyFont="1" applyAlignment="1" applyProtection="1">
      <alignment horizontal="centerContinuous" vertical="center"/>
      <protection locked="0"/>
    </xf>
    <xf numFmtId="43" fontId="22" fillId="0" borderId="0" xfId="11" applyFont="1"/>
    <xf numFmtId="0" fontId="22" fillId="0" borderId="0" xfId="10" applyFont="1"/>
    <xf numFmtId="0" fontId="22" fillId="9" borderId="13" xfId="10" applyFont="1" applyFill="1" applyBorder="1" applyAlignment="1">
      <alignment horizontal="center" vertical="center"/>
    </xf>
    <xf numFmtId="43" fontId="16" fillId="9" borderId="13" xfId="11" applyFont="1" applyFill="1" applyBorder="1" applyAlignment="1">
      <alignment horizontal="center" vertical="center"/>
    </xf>
    <xf numFmtId="43" fontId="16" fillId="9" borderId="13" xfId="11" applyFont="1" applyFill="1" applyBorder="1" applyAlignment="1">
      <alignment horizontal="center" vertical="center" wrapText="1"/>
    </xf>
    <xf numFmtId="43" fontId="22" fillId="9" borderId="13" xfId="11" applyFont="1" applyFill="1" applyBorder="1" applyAlignment="1">
      <alignment horizontal="center" vertical="center" wrapText="1"/>
    </xf>
    <xf numFmtId="0" fontId="22" fillId="0" borderId="4" xfId="10" applyFont="1" applyBorder="1" applyAlignment="1">
      <alignment horizontal="center"/>
    </xf>
    <xf numFmtId="164" fontId="22" fillId="0" borderId="0" xfId="10" applyNumberFormat="1" applyFont="1"/>
    <xf numFmtId="0" fontId="22" fillId="0" borderId="17" xfId="10" applyFont="1" applyBorder="1"/>
    <xf numFmtId="0" fontId="22" fillId="5" borderId="4" xfId="10" applyFont="1" applyFill="1" applyBorder="1" applyAlignment="1">
      <alignment horizontal="center"/>
    </xf>
    <xf numFmtId="43" fontId="22" fillId="0" borderId="0" xfId="10" applyNumberFormat="1" applyFont="1"/>
    <xf numFmtId="0" fontId="22" fillId="6" borderId="13" xfId="10" applyFont="1" applyFill="1" applyBorder="1"/>
    <xf numFmtId="0" fontId="22" fillId="6" borderId="13" xfId="10" applyFont="1" applyFill="1" applyBorder="1" applyAlignment="1">
      <alignment horizontal="centerContinuous"/>
    </xf>
    <xf numFmtId="43" fontId="16" fillId="6" borderId="12" xfId="11" applyFont="1" applyFill="1" applyBorder="1"/>
    <xf numFmtId="0" fontId="13" fillId="0" borderId="0" xfId="12" applyFont="1"/>
    <xf numFmtId="43" fontId="13" fillId="0" borderId="13" xfId="11" applyFont="1" applyBorder="1"/>
    <xf numFmtId="43" fontId="22" fillId="0" borderId="0" xfId="11" applyFont="1" applyFill="1" applyBorder="1"/>
    <xf numFmtId="0" fontId="8" fillId="0" borderId="0" xfId="12" applyFont="1" applyAlignment="1">
      <alignment horizontal="center"/>
    </xf>
    <xf numFmtId="0" fontId="8" fillId="0" borderId="0" xfId="12" applyFont="1"/>
    <xf numFmtId="43" fontId="13" fillId="0" borderId="0" xfId="11" applyFont="1" applyBorder="1"/>
    <xf numFmtId="0" fontId="24" fillId="0" borderId="0" xfId="13" applyFont="1" applyAlignment="1">
      <alignment horizontal="left" indent="5"/>
    </xf>
    <xf numFmtId="0" fontId="13" fillId="0" borderId="0" xfId="12" applyFont="1" applyAlignment="1">
      <alignment horizontal="left"/>
    </xf>
    <xf numFmtId="43" fontId="24" fillId="0" borderId="0" xfId="11" applyFont="1" applyAlignment="1">
      <alignment horizontal="left" indent="1"/>
    </xf>
    <xf numFmtId="43" fontId="13" fillId="0" borderId="0" xfId="11" applyFont="1"/>
    <xf numFmtId="0" fontId="22" fillId="0" borderId="0" xfId="10" applyFont="1" applyBorder="1"/>
    <xf numFmtId="0" fontId="22" fillId="5" borderId="5" xfId="10" applyFont="1" applyFill="1" applyBorder="1" applyAlignment="1">
      <alignment horizontal="center"/>
    </xf>
    <xf numFmtId="0" fontId="22" fillId="5" borderId="20" xfId="10" applyFont="1" applyFill="1" applyBorder="1" applyAlignment="1">
      <alignment horizontal="center"/>
    </xf>
    <xf numFmtId="43" fontId="16" fillId="10" borderId="13" xfId="11" applyFont="1" applyFill="1" applyBorder="1"/>
    <xf numFmtId="0" fontId="13" fillId="0" borderId="13" xfId="10" applyFont="1" applyBorder="1" applyAlignment="1">
      <alignment horizontal="left"/>
    </xf>
    <xf numFmtId="0" fontId="13" fillId="0" borderId="5" xfId="10" applyFont="1" applyBorder="1" applyAlignment="1">
      <alignment horizontal="left"/>
    </xf>
    <xf numFmtId="0" fontId="13" fillId="5" borderId="13" xfId="10" applyFont="1" applyFill="1" applyBorder="1" applyAlignment="1">
      <alignment horizontal="left" vertical="center" wrapText="1"/>
    </xf>
    <xf numFmtId="43" fontId="11" fillId="5" borderId="13" xfId="11" applyFont="1" applyFill="1" applyBorder="1"/>
    <xf numFmtId="49" fontId="25" fillId="0" borderId="0" xfId="10" applyNumberFormat="1" applyFont="1"/>
    <xf numFmtId="164" fontId="26" fillId="0" borderId="0" xfId="10" applyNumberFormat="1" applyFont="1"/>
    <xf numFmtId="164" fontId="25" fillId="0" borderId="0" xfId="10" applyNumberFormat="1" applyFont="1"/>
    <xf numFmtId="0" fontId="13" fillId="0" borderId="13" xfId="11" applyNumberFormat="1" applyFont="1" applyBorder="1" applyAlignment="1">
      <alignment horizontal="center"/>
    </xf>
    <xf numFmtId="0" fontId="11" fillId="5" borderId="13" xfId="11" applyNumberFormat="1" applyFont="1" applyFill="1" applyBorder="1" applyAlignment="1">
      <alignment horizontal="center"/>
    </xf>
    <xf numFmtId="0" fontId="28" fillId="0" borderId="0" xfId="10" applyFont="1"/>
    <xf numFmtId="43" fontId="28" fillId="0" borderId="0" xfId="11" applyFont="1"/>
    <xf numFmtId="43" fontId="30" fillId="0" borderId="13" xfId="11" applyFont="1" applyBorder="1"/>
    <xf numFmtId="43" fontId="28" fillId="0" borderId="0" xfId="11" applyFont="1" applyFill="1"/>
    <xf numFmtId="0" fontId="28" fillId="0" borderId="13" xfId="12" applyFont="1" applyBorder="1" applyAlignment="1">
      <alignment horizontal="center"/>
    </xf>
    <xf numFmtId="43" fontId="28" fillId="0" borderId="13" xfId="11" applyFont="1" applyBorder="1" applyAlignment="1">
      <alignment horizontal="center"/>
    </xf>
    <xf numFmtId="0" fontId="30" fillId="0" borderId="0" xfId="12" applyFont="1"/>
    <xf numFmtId="43" fontId="30" fillId="0" borderId="13" xfId="11" applyFont="1" applyFill="1" applyBorder="1"/>
    <xf numFmtId="9" fontId="30" fillId="0" borderId="13" xfId="9" applyFont="1" applyBorder="1" applyAlignment="1">
      <alignment horizontal="center"/>
    </xf>
    <xf numFmtId="43" fontId="30" fillId="0" borderId="0" xfId="9" applyNumberFormat="1" applyFont="1"/>
    <xf numFmtId="0" fontId="30" fillId="0" borderId="13" xfId="12" applyFont="1" applyBorder="1" applyAlignment="1">
      <alignment horizontal="left"/>
    </xf>
    <xf numFmtId="0" fontId="36" fillId="0" borderId="4" xfId="6" applyFont="1" applyBorder="1" applyAlignment="1" applyProtection="1">
      <alignment horizontal="left" shrinkToFit="1"/>
      <protection locked="0"/>
    </xf>
    <xf numFmtId="9" fontId="8" fillId="0" borderId="0" xfId="9" applyFont="1" applyAlignment="1" applyProtection="1">
      <alignment horizontal="center"/>
      <protection locked="0"/>
    </xf>
    <xf numFmtId="0" fontId="30" fillId="0" borderId="20" xfId="12" applyFont="1" applyBorder="1" applyAlignment="1">
      <alignment horizontal="left"/>
    </xf>
    <xf numFmtId="0" fontId="30" fillId="0" borderId="4" xfId="12" applyFont="1" applyBorder="1" applyAlignment="1">
      <alignment horizontal="left"/>
    </xf>
    <xf numFmtId="164" fontId="30" fillId="0" borderId="0" xfId="12" applyNumberFormat="1" applyFont="1"/>
    <xf numFmtId="43" fontId="41" fillId="0" borderId="8" xfId="1" applyFont="1" applyBorder="1" applyAlignment="1">
      <alignment horizontal="center"/>
    </xf>
    <xf numFmtId="0" fontId="4" fillId="0" borderId="10" xfId="0" applyFont="1" applyBorder="1" applyAlignment="1" applyProtection="1">
      <alignment horizontal="center"/>
      <protection locked="0"/>
    </xf>
    <xf numFmtId="0" fontId="4" fillId="0" borderId="0" xfId="0" applyFont="1" applyAlignment="1" applyProtection="1">
      <alignment horizontal="left"/>
      <protection locked="0"/>
    </xf>
    <xf numFmtId="14" fontId="4" fillId="0" borderId="4" xfId="0" applyNumberFormat="1" applyFont="1" applyBorder="1" applyAlignment="1" applyProtection="1">
      <alignment horizontal="center"/>
      <protection locked="0"/>
    </xf>
    <xf numFmtId="14" fontId="4" fillId="0" borderId="0" xfId="0" applyNumberFormat="1" applyFont="1" applyProtection="1">
      <protection locked="0"/>
    </xf>
    <xf numFmtId="43" fontId="41" fillId="0" borderId="4" xfId="1" applyFont="1" applyBorder="1" applyAlignment="1">
      <alignment horizontal="center"/>
    </xf>
    <xf numFmtId="0" fontId="2" fillId="0" borderId="0" xfId="3" applyFont="1" applyBorder="1" applyAlignment="1" applyProtection="1">
      <alignment horizontal="left"/>
      <protection locked="0"/>
    </xf>
    <xf numFmtId="0" fontId="6" fillId="0" borderId="0" xfId="4" applyFont="1" applyAlignment="1" applyProtection="1">
      <alignment horizontal="left" vertical="center"/>
      <protection locked="0"/>
    </xf>
    <xf numFmtId="4" fontId="4" fillId="0" borderId="0" xfId="1" applyNumberFormat="1" applyFont="1" applyAlignment="1" applyProtection="1">
      <alignment horizontal="center"/>
      <protection locked="0"/>
    </xf>
    <xf numFmtId="4" fontId="15" fillId="0" borderId="0" xfId="1" applyNumberFormat="1" applyFont="1" applyAlignment="1" applyProtection="1">
      <alignment horizontal="center"/>
      <protection locked="0"/>
    </xf>
    <xf numFmtId="0" fontId="19" fillId="4" borderId="24" xfId="8" applyFont="1" applyBorder="1" applyAlignment="1" applyProtection="1">
      <alignment horizontal="center" vertical="center" wrapText="1"/>
      <protection locked="0"/>
    </xf>
    <xf numFmtId="0" fontId="8" fillId="0" borderId="30" xfId="0" applyFont="1" applyBorder="1" applyAlignment="1" applyProtection="1">
      <alignment horizontal="centerContinuous"/>
      <protection locked="0"/>
    </xf>
    <xf numFmtId="0" fontId="8" fillId="0" borderId="31" xfId="0" applyFont="1" applyBorder="1" applyAlignment="1" applyProtection="1">
      <alignment horizontal="centerContinuous"/>
      <protection locked="0"/>
    </xf>
    <xf numFmtId="0" fontId="8" fillId="0" borderId="32" xfId="0" applyFont="1" applyBorder="1" applyAlignment="1" applyProtection="1">
      <alignment horizontal="centerContinuous"/>
      <protection locked="0"/>
    </xf>
    <xf numFmtId="0" fontId="8" fillId="0" borderId="32" xfId="0" applyFont="1" applyBorder="1" applyAlignment="1" applyProtection="1">
      <alignment horizontal="center"/>
      <protection locked="0"/>
    </xf>
    <xf numFmtId="43" fontId="8" fillId="0" borderId="32" xfId="0" applyNumberFormat="1" applyFont="1" applyBorder="1" applyAlignment="1" applyProtection="1">
      <alignment horizontal="centerContinuous"/>
      <protection locked="0"/>
    </xf>
    <xf numFmtId="0" fontId="43" fillId="0" borderId="0" xfId="0" applyFont="1"/>
    <xf numFmtId="43" fontId="4" fillId="0" borderId="8" xfId="1" applyFont="1" applyBorder="1" applyAlignment="1">
      <alignment horizontal="center"/>
    </xf>
    <xf numFmtId="43" fontId="4" fillId="0" borderId="4" xfId="1" applyFont="1" applyBorder="1" applyAlignment="1">
      <alignment horizontal="center"/>
    </xf>
    <xf numFmtId="0" fontId="10" fillId="0" borderId="4" xfId="6" applyFont="1" applyBorder="1" applyAlignment="1" applyProtection="1">
      <alignment horizontal="center" shrinkToFit="1"/>
      <protection locked="0"/>
    </xf>
    <xf numFmtId="43" fontId="10" fillId="0" borderId="4" xfId="1" applyFont="1" applyBorder="1" applyAlignment="1" applyProtection="1">
      <alignment horizontal="center" shrinkToFit="1"/>
      <protection locked="0"/>
    </xf>
    <xf numFmtId="0" fontId="10" fillId="0" borderId="4" xfId="1" applyNumberFormat="1" applyFont="1" applyBorder="1" applyAlignment="1" applyProtection="1">
      <alignment horizontal="center" shrinkToFit="1"/>
      <protection locked="0"/>
    </xf>
    <xf numFmtId="0" fontId="13" fillId="5" borderId="13" xfId="10" applyFont="1" applyFill="1" applyBorder="1" applyAlignment="1">
      <alignment horizontal="left"/>
    </xf>
    <xf numFmtId="43" fontId="10" fillId="0" borderId="7" xfId="1" applyFont="1" applyBorder="1" applyAlignment="1" applyProtection="1">
      <alignment horizontal="center" shrinkToFit="1"/>
      <protection locked="0"/>
    </xf>
    <xf numFmtId="164" fontId="4" fillId="5" borderId="7" xfId="1" applyNumberFormat="1" applyFont="1" applyFill="1" applyBorder="1" applyAlignment="1" applyProtection="1">
      <protection locked="0"/>
    </xf>
    <xf numFmtId="0" fontId="10" fillId="0" borderId="0" xfId="6" applyFont="1" applyBorder="1" applyAlignment="1" applyProtection="1">
      <protection locked="0"/>
    </xf>
    <xf numFmtId="0" fontId="40" fillId="5" borderId="25" xfId="6" applyFont="1" applyFill="1" applyBorder="1" applyAlignment="1" applyProtection="1">
      <alignment horizontal="center"/>
      <protection locked="0"/>
    </xf>
    <xf numFmtId="0" fontId="40" fillId="5" borderId="3" xfId="6" applyFont="1" applyFill="1" applyBorder="1" applyAlignment="1" applyProtection="1">
      <alignment horizontal="center"/>
      <protection locked="0"/>
    </xf>
    <xf numFmtId="4" fontId="4" fillId="0" borderId="10" xfId="1" applyNumberFormat="1" applyFont="1" applyBorder="1" applyAlignment="1" applyProtection="1">
      <protection locked="0"/>
    </xf>
    <xf numFmtId="4" fontId="4" fillId="0" borderId="4" xfId="1" applyNumberFormat="1" applyFont="1" applyBorder="1" applyAlignment="1" applyProtection="1">
      <protection locked="0"/>
    </xf>
    <xf numFmtId="0" fontId="40" fillId="5" borderId="26" xfId="6" applyFont="1" applyFill="1" applyBorder="1" applyAlignment="1" applyProtection="1">
      <alignment horizontal="center"/>
      <protection locked="0"/>
    </xf>
    <xf numFmtId="0" fontId="4" fillId="0" borderId="11" xfId="6" applyFont="1" applyBorder="1" applyAlignment="1" applyProtection="1">
      <alignment horizontal="center"/>
      <protection locked="0"/>
    </xf>
    <xf numFmtId="0" fontId="10" fillId="0" borderId="7" xfId="6" applyFont="1" applyBorder="1" applyAlignment="1" applyProtection="1">
      <alignment shrinkToFit="1"/>
      <protection locked="0"/>
    </xf>
    <xf numFmtId="0" fontId="40" fillId="5" borderId="9" xfId="6" applyFont="1" applyFill="1" applyBorder="1" applyAlignment="1" applyProtection="1">
      <alignment horizontal="center"/>
      <protection locked="0"/>
    </xf>
    <xf numFmtId="43" fontId="4" fillId="0" borderId="0" xfId="1" applyFont="1" applyAlignment="1" applyProtection="1">
      <protection locked="0"/>
    </xf>
    <xf numFmtId="4" fontId="10" fillId="0" borderId="10" xfId="1" applyNumberFormat="1" applyFont="1" applyBorder="1" applyAlignment="1" applyProtection="1">
      <protection locked="0"/>
    </xf>
    <xf numFmtId="4" fontId="10" fillId="0" borderId="4" xfId="1" applyNumberFormat="1" applyFont="1" applyBorder="1" applyAlignment="1" applyProtection="1">
      <protection locked="0"/>
    </xf>
    <xf numFmtId="43" fontId="28" fillId="0" borderId="34" xfId="11" applyFont="1" applyFill="1" applyBorder="1" applyAlignment="1">
      <alignment horizontal="center"/>
    </xf>
    <xf numFmtId="0" fontId="13" fillId="0" borderId="34" xfId="10" applyFont="1" applyBorder="1" applyAlignment="1">
      <alignment horizontal="left"/>
    </xf>
    <xf numFmtId="0" fontId="13" fillId="0" borderId="35" xfId="10" applyFont="1" applyBorder="1" applyAlignment="1">
      <alignment horizontal="left"/>
    </xf>
    <xf numFmtId="43" fontId="8" fillId="0" borderId="32" xfId="0" applyNumberFormat="1" applyFont="1" applyBorder="1" applyAlignment="1" applyProtection="1">
      <alignment horizontal="left"/>
      <protection locked="0"/>
    </xf>
    <xf numFmtId="164" fontId="44" fillId="0" borderId="0" xfId="10" applyNumberFormat="1" applyFont="1"/>
    <xf numFmtId="43" fontId="8" fillId="10" borderId="32" xfId="0" applyNumberFormat="1" applyFont="1" applyFill="1" applyBorder="1" applyAlignment="1" applyProtection="1">
      <alignment horizontal="centerContinuous"/>
      <protection locked="0"/>
    </xf>
    <xf numFmtId="0" fontId="4" fillId="0" borderId="10" xfId="6" applyFont="1" applyBorder="1" applyAlignment="1" applyProtection="1">
      <alignment shrinkToFit="1"/>
      <protection locked="0"/>
    </xf>
    <xf numFmtId="0" fontId="13" fillId="0" borderId="36" xfId="10" applyFont="1" applyBorder="1" applyAlignment="1">
      <alignment horizontal="left"/>
    </xf>
    <xf numFmtId="0" fontId="13" fillId="0" borderId="37" xfId="10" applyFont="1" applyBorder="1" applyAlignment="1">
      <alignment horizontal="left"/>
    </xf>
    <xf numFmtId="4" fontId="10" fillId="11" borderId="38" xfId="7" applyNumberFormat="1" applyFont="1" applyFill="1" applyBorder="1" applyAlignment="1" applyProtection="1">
      <alignment horizontal="center"/>
      <protection hidden="1"/>
    </xf>
    <xf numFmtId="0" fontId="4" fillId="0" borderId="40" xfId="0" applyFont="1" applyBorder="1" applyAlignment="1" applyProtection="1">
      <alignment horizontal="center"/>
      <protection locked="0"/>
    </xf>
    <xf numFmtId="14" fontId="4" fillId="0" borderId="0" xfId="0" applyNumberFormat="1" applyFont="1" applyAlignment="1" applyProtection="1">
      <alignment horizontal="center"/>
      <protection locked="0"/>
    </xf>
    <xf numFmtId="43" fontId="8" fillId="0" borderId="31" xfId="0" applyNumberFormat="1" applyFont="1" applyBorder="1" applyAlignment="1" applyProtection="1">
      <alignment horizontal="centerContinuous"/>
      <protection locked="0"/>
    </xf>
    <xf numFmtId="4" fontId="10" fillId="11" borderId="6" xfId="7" applyNumberFormat="1" applyFont="1" applyFill="1" applyBorder="1" applyAlignment="1" applyProtection="1">
      <alignment horizontal="center"/>
      <protection hidden="1"/>
    </xf>
    <xf numFmtId="4" fontId="10" fillId="11" borderId="10" xfId="7" applyNumberFormat="1" applyFont="1" applyFill="1" applyBorder="1" applyAlignment="1" applyProtection="1">
      <alignment horizontal="center"/>
      <protection hidden="1"/>
    </xf>
    <xf numFmtId="4" fontId="10" fillId="11" borderId="4" xfId="7" applyNumberFormat="1" applyFont="1" applyFill="1" applyBorder="1" applyAlignment="1" applyProtection="1">
      <alignment horizontal="center"/>
      <protection hidden="1"/>
    </xf>
    <xf numFmtId="4" fontId="4" fillId="11" borderId="10" xfId="7" applyNumberFormat="1" applyFont="1" applyFill="1" applyBorder="1" applyAlignment="1" applyProtection="1">
      <alignment horizontal="center"/>
      <protection hidden="1"/>
    </xf>
    <xf numFmtId="4" fontId="4" fillId="11" borderId="4" xfId="7" applyNumberFormat="1" applyFont="1" applyFill="1" applyBorder="1" applyAlignment="1" applyProtection="1">
      <alignment horizontal="center"/>
      <protection hidden="1"/>
    </xf>
    <xf numFmtId="43" fontId="8" fillId="0" borderId="32" xfId="0" applyNumberFormat="1" applyFont="1" applyBorder="1" applyAlignment="1" applyProtection="1">
      <alignment horizontal="center"/>
      <protection locked="0"/>
    </xf>
    <xf numFmtId="43" fontId="10" fillId="0" borderId="7" xfId="1" applyFont="1" applyFill="1" applyBorder="1" applyAlignment="1" applyProtection="1">
      <alignment horizontal="center" shrinkToFit="1"/>
      <protection locked="0"/>
    </xf>
    <xf numFmtId="43" fontId="6" fillId="0" borderId="0" xfId="1" applyFont="1" applyAlignment="1" applyProtection="1">
      <alignment horizontal="center"/>
      <protection locked="0"/>
    </xf>
    <xf numFmtId="9" fontId="6" fillId="0" borderId="0" xfId="9" applyFont="1" applyAlignment="1" applyProtection="1">
      <alignment horizontal="center"/>
      <protection locked="0"/>
    </xf>
    <xf numFmtId="43" fontId="45" fillId="0" borderId="0" xfId="1" applyFont="1" applyAlignment="1" applyProtection="1">
      <alignment horizontal="center"/>
      <protection locked="0"/>
    </xf>
    <xf numFmtId="43" fontId="45" fillId="0" borderId="0" xfId="1" applyFont="1" applyProtection="1">
      <protection locked="0"/>
    </xf>
    <xf numFmtId="0" fontId="8" fillId="0" borderId="0" xfId="10" applyFont="1"/>
    <xf numFmtId="9" fontId="37" fillId="7" borderId="0" xfId="9" applyFont="1" applyFill="1" applyAlignment="1">
      <alignment horizontal="center"/>
    </xf>
    <xf numFmtId="43" fontId="8" fillId="0" borderId="0" xfId="11" applyFont="1"/>
    <xf numFmtId="0" fontId="46" fillId="4" borderId="24" xfId="8" applyFont="1" applyBorder="1" applyAlignment="1" applyProtection="1">
      <alignment horizontal="center" vertical="center" wrapText="1"/>
      <protection locked="0"/>
    </xf>
    <xf numFmtId="43" fontId="46" fillId="12" borderId="4" xfId="1" applyFont="1" applyFill="1" applyBorder="1" applyAlignment="1" applyProtection="1">
      <alignment horizontal="center" vertical="center" wrapText="1"/>
      <protection locked="0"/>
    </xf>
    <xf numFmtId="4" fontId="46" fillId="12" borderId="4" xfId="8" applyNumberFormat="1" applyFont="1" applyFill="1" applyBorder="1" applyAlignment="1" applyProtection="1">
      <alignment horizontal="center" vertical="center" wrapText="1"/>
      <protection locked="0"/>
    </xf>
    <xf numFmtId="4" fontId="50" fillId="13" borderId="4" xfId="8" applyNumberFormat="1" applyFont="1" applyFill="1" applyBorder="1" applyAlignment="1" applyProtection="1">
      <alignment horizontal="center" vertical="center" wrapText="1"/>
      <protection hidden="1"/>
    </xf>
    <xf numFmtId="4" fontId="10" fillId="0" borderId="7" xfId="7" applyNumberFormat="1" applyFont="1" applyFill="1" applyBorder="1" applyAlignment="1" applyProtection="1">
      <alignment horizontal="center"/>
      <protection hidden="1"/>
    </xf>
    <xf numFmtId="4" fontId="10" fillId="0" borderId="4" xfId="7" applyNumberFormat="1" applyFont="1" applyFill="1" applyBorder="1" applyAlignment="1" applyProtection="1">
      <alignment horizontal="center"/>
      <protection hidden="1"/>
    </xf>
    <xf numFmtId="0" fontId="4" fillId="0" borderId="6" xfId="0" applyFont="1" applyBorder="1" applyAlignment="1" applyProtection="1">
      <alignment horizontal="center"/>
      <protection locked="0"/>
    </xf>
    <xf numFmtId="0" fontId="4" fillId="0" borderId="14" xfId="0" applyFont="1" applyBorder="1" applyAlignment="1" applyProtection="1">
      <alignment horizontal="center"/>
      <protection locked="0"/>
    </xf>
    <xf numFmtId="4" fontId="10" fillId="0" borderId="14" xfId="7" applyNumberFormat="1" applyFont="1" applyFill="1" applyBorder="1" applyAlignment="1" applyProtection="1">
      <alignment horizontal="center"/>
      <protection hidden="1"/>
    </xf>
    <xf numFmtId="0" fontId="4" fillId="0" borderId="4" xfId="0" applyFont="1" applyBorder="1" applyAlignment="1" applyProtection="1">
      <alignment horizontal="center"/>
      <protection locked="0"/>
    </xf>
    <xf numFmtId="0" fontId="51" fillId="0" borderId="0" xfId="0" applyFont="1" applyProtection="1">
      <protection locked="0"/>
    </xf>
    <xf numFmtId="0" fontId="13" fillId="0" borderId="45" xfId="12" applyFont="1" applyBorder="1" applyAlignment="1">
      <alignment horizontal="center"/>
    </xf>
    <xf numFmtId="9" fontId="13" fillId="0" borderId="45" xfId="9" applyFont="1" applyBorder="1" applyAlignment="1">
      <alignment horizontal="center"/>
    </xf>
    <xf numFmtId="43" fontId="13" fillId="0" borderId="45" xfId="12" applyNumberFormat="1" applyFont="1" applyBorder="1" applyAlignment="1">
      <alignment horizontal="center"/>
    </xf>
    <xf numFmtId="0" fontId="22" fillId="0" borderId="0" xfId="10" applyFont="1" applyAlignment="1"/>
    <xf numFmtId="0" fontId="30" fillId="5" borderId="4" xfId="10" applyFont="1" applyFill="1" applyBorder="1" applyAlignment="1">
      <alignment horizontal="center"/>
    </xf>
    <xf numFmtId="0" fontId="22" fillId="0" borderId="17" xfId="10" applyFont="1" applyBorder="1" applyAlignment="1"/>
    <xf numFmtId="41" fontId="13" fillId="5" borderId="4" xfId="10" applyNumberFormat="1" applyFont="1" applyFill="1" applyBorder="1" applyAlignment="1">
      <alignment horizontal="center"/>
    </xf>
    <xf numFmtId="0" fontId="22" fillId="0" borderId="0" xfId="10" applyFont="1" applyBorder="1" applyAlignment="1"/>
    <xf numFmtId="0" fontId="32" fillId="0" borderId="13" xfId="12" applyFont="1" applyBorder="1"/>
    <xf numFmtId="0" fontId="32" fillId="0" borderId="34" xfId="12" applyFont="1" applyBorder="1"/>
    <xf numFmtId="0" fontId="32" fillId="0" borderId="36" xfId="12" applyFont="1" applyBorder="1"/>
    <xf numFmtId="0" fontId="22" fillId="0" borderId="0" xfId="12" applyFont="1"/>
    <xf numFmtId="43" fontId="13" fillId="0" borderId="0" xfId="11" applyFont="1" applyBorder="1" applyAlignment="1"/>
    <xf numFmtId="43" fontId="22" fillId="0" borderId="0" xfId="11" applyFont="1" applyFill="1" applyBorder="1" applyAlignment="1"/>
    <xf numFmtId="43" fontId="13" fillId="11" borderId="0" xfId="11" applyFont="1" applyFill="1" applyAlignment="1"/>
    <xf numFmtId="43" fontId="22" fillId="0" borderId="0" xfId="11" applyFont="1" applyAlignment="1"/>
    <xf numFmtId="43" fontId="13" fillId="0" borderId="0" xfId="11" applyFont="1" applyAlignment="1"/>
    <xf numFmtId="0" fontId="32" fillId="0" borderId="45" xfId="12" applyFont="1" applyBorder="1"/>
    <xf numFmtId="0" fontId="13" fillId="0" borderId="46" xfId="10" applyFont="1" applyBorder="1" applyAlignment="1">
      <alignment horizontal="left"/>
    </xf>
    <xf numFmtId="0" fontId="13" fillId="0" borderId="47" xfId="10" applyFont="1" applyBorder="1" applyAlignment="1">
      <alignment horizontal="left"/>
    </xf>
    <xf numFmtId="9" fontId="52" fillId="17" borderId="0" xfId="0" applyNumberFormat="1" applyFont="1" applyFill="1" applyAlignment="1">
      <alignment horizontal="center"/>
    </xf>
    <xf numFmtId="9" fontId="30" fillId="0" borderId="46" xfId="9" applyFont="1" applyBorder="1" applyAlignment="1">
      <alignment horizontal="center"/>
    </xf>
    <xf numFmtId="43" fontId="13" fillId="0" borderId="46" xfId="12" applyNumberFormat="1" applyFont="1" applyBorder="1" applyAlignment="1">
      <alignment horizontal="center"/>
    </xf>
    <xf numFmtId="0" fontId="13" fillId="0" borderId="44" xfId="12" applyFont="1" applyBorder="1" applyAlignment="1">
      <alignment horizontal="center"/>
    </xf>
    <xf numFmtId="0" fontId="30" fillId="0" borderId="46" xfId="12" applyFont="1" applyBorder="1" applyAlignment="1">
      <alignment horizontal="left"/>
    </xf>
    <xf numFmtId="0" fontId="32" fillId="0" borderId="46" xfId="12" applyFont="1" applyBorder="1"/>
    <xf numFmtId="164" fontId="13" fillId="0" borderId="46" xfId="12" applyNumberFormat="1" applyFont="1" applyBorder="1" applyAlignment="1">
      <alignment horizontal="center"/>
    </xf>
    <xf numFmtId="0" fontId="13" fillId="0" borderId="46" xfId="12" applyFont="1" applyBorder="1" applyAlignment="1">
      <alignment horizontal="center"/>
    </xf>
    <xf numFmtId="9" fontId="13" fillId="0" borderId="46" xfId="9" applyFont="1" applyBorder="1" applyAlignment="1">
      <alignment horizontal="center"/>
    </xf>
    <xf numFmtId="0" fontId="4" fillId="0" borderId="0" xfId="12" applyFont="1" applyAlignment="1">
      <alignment vertical="center"/>
    </xf>
    <xf numFmtId="43" fontId="4" fillId="0" borderId="10" xfId="1" applyFont="1" applyBorder="1" applyAlignment="1" applyProtection="1">
      <alignment horizontal="left" shrinkToFit="1"/>
      <protection locked="0"/>
    </xf>
    <xf numFmtId="0" fontId="4" fillId="0" borderId="41" xfId="0" applyFont="1" applyBorder="1" applyAlignment="1" applyProtection="1">
      <alignment horizontal="center"/>
      <protection locked="0"/>
    </xf>
    <xf numFmtId="4" fontId="10" fillId="11" borderId="14" xfId="7" applyNumberFormat="1" applyFont="1" applyFill="1" applyBorder="1" applyAlignment="1" applyProtection="1">
      <alignment horizontal="center"/>
      <protection hidden="1"/>
    </xf>
    <xf numFmtId="0" fontId="4" fillId="0" borderId="42" xfId="0" applyFont="1" applyBorder="1" applyAlignment="1" applyProtection="1">
      <alignment horizontal="center"/>
      <protection locked="0"/>
    </xf>
    <xf numFmtId="0" fontId="4" fillId="0" borderId="15" xfId="0" applyFont="1" applyBorder="1" applyAlignment="1" applyProtection="1">
      <alignment horizontal="center"/>
      <protection locked="0"/>
    </xf>
    <xf numFmtId="4" fontId="10" fillId="0" borderId="15" xfId="7" applyNumberFormat="1" applyFont="1" applyFill="1" applyBorder="1" applyAlignment="1" applyProtection="1">
      <alignment horizontal="center"/>
      <protection hidden="1"/>
    </xf>
    <xf numFmtId="0" fontId="4" fillId="0" borderId="43" xfId="0" applyFont="1" applyBorder="1" applyAlignment="1" applyProtection="1">
      <alignment horizontal="center"/>
      <protection locked="0"/>
    </xf>
    <xf numFmtId="43" fontId="22" fillId="10" borderId="0" xfId="11" applyFont="1" applyFill="1" applyBorder="1"/>
    <xf numFmtId="0" fontId="8" fillId="19" borderId="45" xfId="12" applyFont="1" applyFill="1" applyBorder="1" applyAlignment="1">
      <alignment horizontal="center" vertical="center"/>
    </xf>
    <xf numFmtId="0" fontId="37" fillId="19" borderId="12" xfId="12" applyFont="1" applyFill="1" applyBorder="1"/>
    <xf numFmtId="0" fontId="37" fillId="19" borderId="18" xfId="12" applyFont="1" applyFill="1" applyBorder="1"/>
    <xf numFmtId="0" fontId="37" fillId="19" borderId="19" xfId="12" applyFont="1" applyFill="1" applyBorder="1"/>
    <xf numFmtId="0" fontId="8" fillId="19" borderId="46" xfId="12" applyFont="1" applyFill="1" applyBorder="1" applyAlignment="1">
      <alignment horizontal="center" vertical="center"/>
    </xf>
    <xf numFmtId="43" fontId="8" fillId="19" borderId="46" xfId="11" applyFont="1" applyFill="1" applyBorder="1" applyAlignment="1">
      <alignment horizontal="center" vertical="center"/>
    </xf>
    <xf numFmtId="0" fontId="8" fillId="19" borderId="46" xfId="12" applyFont="1" applyFill="1" applyBorder="1" applyAlignment="1">
      <alignment horizontal="center" vertical="center" wrapText="1"/>
    </xf>
    <xf numFmtId="0" fontId="8" fillId="19" borderId="44" xfId="12" applyFont="1" applyFill="1" applyBorder="1" applyAlignment="1">
      <alignment horizontal="center" vertical="center"/>
    </xf>
    <xf numFmtId="43" fontId="46" fillId="20" borderId="4" xfId="1" applyFont="1" applyFill="1" applyBorder="1" applyAlignment="1" applyProtection="1">
      <alignment horizontal="center" vertical="center" wrapText="1"/>
      <protection locked="0"/>
    </xf>
    <xf numFmtId="43" fontId="10" fillId="0" borderId="6" xfId="1" applyFont="1" applyBorder="1" applyAlignment="1" applyProtection="1">
      <alignment shrinkToFit="1"/>
      <protection locked="0"/>
    </xf>
    <xf numFmtId="0" fontId="10" fillId="12" borderId="24" xfId="1" applyNumberFormat="1" applyFont="1" applyFill="1" applyBorder="1" applyAlignment="1" applyProtection="1">
      <alignment horizontal="center" vertical="center" wrapText="1"/>
      <protection locked="0"/>
    </xf>
    <xf numFmtId="17" fontId="10" fillId="0" borderId="7" xfId="1" quotePrefix="1" applyNumberFormat="1" applyFont="1" applyBorder="1" applyAlignment="1" applyProtection="1">
      <alignment horizontal="center" shrinkToFit="1"/>
      <protection locked="0"/>
    </xf>
    <xf numFmtId="43" fontId="13" fillId="0" borderId="46" xfId="9" applyNumberFormat="1" applyFont="1" applyBorder="1" applyAlignment="1">
      <alignment horizontal="center"/>
    </xf>
    <xf numFmtId="43" fontId="13" fillId="0" borderId="46" xfId="11" applyFont="1" applyBorder="1" applyAlignment="1"/>
    <xf numFmtId="43" fontId="13" fillId="0" borderId="46" xfId="11" applyFont="1" applyFill="1" applyBorder="1" applyAlignment="1"/>
    <xf numFmtId="43" fontId="13" fillId="0" borderId="46" xfId="1" applyFont="1" applyBorder="1" applyAlignment="1"/>
    <xf numFmtId="43" fontId="13" fillId="0" borderId="46" xfId="12" applyNumberFormat="1" applyFont="1" applyBorder="1"/>
    <xf numFmtId="43" fontId="13" fillId="18" borderId="46" xfId="9" applyNumberFormat="1" applyFont="1" applyFill="1" applyBorder="1" applyAlignment="1"/>
    <xf numFmtId="43" fontId="13" fillId="0" borderId="46" xfId="9" applyNumberFormat="1" applyFont="1" applyFill="1" applyBorder="1" applyAlignment="1">
      <alignment horizontal="center"/>
    </xf>
    <xf numFmtId="0" fontId="23" fillId="0" borderId="46" xfId="12" applyFont="1" applyBorder="1"/>
    <xf numFmtId="10" fontId="13" fillId="0" borderId="46" xfId="9" applyNumberFormat="1" applyFont="1" applyBorder="1" applyAlignment="1">
      <alignment horizontal="center"/>
    </xf>
    <xf numFmtId="43" fontId="22" fillId="0" borderId="46" xfId="11" applyFont="1" applyFill="1" applyBorder="1" applyAlignment="1"/>
    <xf numFmtId="43" fontId="22" fillId="10" borderId="46" xfId="11" applyFont="1" applyFill="1" applyBorder="1" applyAlignment="1"/>
    <xf numFmtId="0" fontId="13" fillId="0" borderId="46" xfId="12" applyFont="1" applyBorder="1"/>
    <xf numFmtId="43" fontId="10" fillId="0" borderId="6" xfId="1" applyFont="1" applyBorder="1" applyAlignment="1" applyProtection="1">
      <alignment horizontal="right" wrapText="1" shrinkToFit="1"/>
      <protection locked="0"/>
    </xf>
    <xf numFmtId="0" fontId="36" fillId="0" borderId="4" xfId="6" applyFont="1" applyBorder="1" applyAlignment="1" applyProtection="1">
      <alignment horizontal="left" wrapText="1" shrinkToFit="1"/>
      <protection locked="0"/>
    </xf>
    <xf numFmtId="43" fontId="10" fillId="0" borderId="7" xfId="1" applyFont="1" applyBorder="1" applyAlignment="1" applyProtection="1">
      <alignment shrinkToFit="1"/>
      <protection locked="0"/>
    </xf>
    <xf numFmtId="4" fontId="10" fillId="3" borderId="6" xfId="7" applyNumberFormat="1" applyFont="1" applyBorder="1" applyAlignment="1" applyProtection="1">
      <protection hidden="1"/>
    </xf>
    <xf numFmtId="4" fontId="10" fillId="3" borderId="10" xfId="7" applyNumberFormat="1" applyFont="1" applyBorder="1" applyAlignment="1" applyProtection="1">
      <protection hidden="1"/>
    </xf>
    <xf numFmtId="4" fontId="10" fillId="3" borderId="4" xfId="7" applyNumberFormat="1" applyFont="1" applyBorder="1" applyAlignment="1" applyProtection="1">
      <protection hidden="1"/>
    </xf>
    <xf numFmtId="0" fontId="10" fillId="0" borderId="27" xfId="6" applyFont="1" applyBorder="1" applyAlignment="1" applyProtection="1">
      <alignment horizontal="center"/>
      <protection locked="0"/>
    </xf>
    <xf numFmtId="0" fontId="10" fillId="0" borderId="11" xfId="6" applyFont="1" applyBorder="1" applyAlignment="1" applyProtection="1">
      <alignment horizontal="center"/>
      <protection locked="0"/>
    </xf>
    <xf numFmtId="0" fontId="10" fillId="0" borderId="10" xfId="6" applyFont="1" applyBorder="1" applyAlignment="1" applyProtection="1">
      <alignment shrinkToFit="1"/>
      <protection locked="0"/>
    </xf>
    <xf numFmtId="0" fontId="10" fillId="0" borderId="28" xfId="6" applyFont="1" applyBorder="1" applyAlignment="1" applyProtection="1">
      <alignment horizontal="center"/>
      <protection locked="0"/>
    </xf>
    <xf numFmtId="0" fontId="40" fillId="5" borderId="29" xfId="6" applyFont="1" applyFill="1" applyBorder="1" applyAlignment="1" applyProtection="1">
      <alignment horizontal="center"/>
      <protection locked="0"/>
    </xf>
    <xf numFmtId="0" fontId="10" fillId="0" borderId="16" xfId="6" applyFont="1" applyBorder="1" applyAlignment="1" applyProtection="1">
      <alignment horizontal="center"/>
      <protection locked="0"/>
    </xf>
    <xf numFmtId="0" fontId="10" fillId="0" borderId="7" xfId="1" applyNumberFormat="1" applyFont="1" applyBorder="1" applyAlignment="1" applyProtection="1">
      <alignment horizontal="center" shrinkToFit="1"/>
      <protection locked="0"/>
    </xf>
    <xf numFmtId="0" fontId="8" fillId="0" borderId="0" xfId="0" applyFont="1" applyProtection="1">
      <protection locked="0"/>
    </xf>
    <xf numFmtId="0" fontId="46" fillId="4" borderId="22" xfId="8" applyFont="1" applyBorder="1" applyAlignment="1" applyProtection="1">
      <alignment horizontal="center" vertical="center" wrapText="1"/>
      <protection locked="0"/>
    </xf>
    <xf numFmtId="0" fontId="46" fillId="4" borderId="23" xfId="8" applyFont="1" applyBorder="1" applyAlignment="1" applyProtection="1">
      <alignment horizontal="center" vertical="center" wrapText="1"/>
      <protection locked="0"/>
    </xf>
    <xf numFmtId="43" fontId="46" fillId="4" borderId="24" xfId="1" applyFont="1" applyFill="1" applyBorder="1" applyAlignment="1" applyProtection="1">
      <alignment horizontal="center" vertical="center" wrapText="1"/>
      <protection locked="0"/>
    </xf>
    <xf numFmtId="0" fontId="46" fillId="4" borderId="24" xfId="1" applyNumberFormat="1" applyFont="1" applyFill="1" applyBorder="1" applyAlignment="1" applyProtection="1">
      <alignment horizontal="center" vertical="center" wrapText="1"/>
      <protection locked="0"/>
    </xf>
    <xf numFmtId="43" fontId="46" fillId="12" borderId="24" xfId="1" applyFont="1" applyFill="1" applyBorder="1" applyAlignment="1" applyProtection="1">
      <alignment horizontal="center" vertical="center" wrapText="1"/>
      <protection locked="0"/>
    </xf>
    <xf numFmtId="164" fontId="4" fillId="0" borderId="4" xfId="1" applyNumberFormat="1" applyFont="1" applyBorder="1" applyAlignment="1" applyProtection="1">
      <protection locked="0"/>
    </xf>
    <xf numFmtId="43" fontId="4" fillId="0" borderId="4" xfId="1" applyFont="1" applyBorder="1" applyAlignment="1" applyProtection="1">
      <protection locked="0"/>
    </xf>
    <xf numFmtId="0" fontId="4" fillId="5" borderId="26" xfId="6" applyFont="1" applyFill="1" applyBorder="1" applyAlignment="1" applyProtection="1">
      <alignment horizontal="center"/>
      <protection locked="0"/>
    </xf>
    <xf numFmtId="0" fontId="4" fillId="5" borderId="3" xfId="6" applyFont="1" applyFill="1" applyBorder="1" applyAlignment="1" applyProtection="1">
      <alignment horizontal="center"/>
      <protection locked="0"/>
    </xf>
    <xf numFmtId="4" fontId="4" fillId="3" borderId="4" xfId="7" applyNumberFormat="1" applyFont="1" applyBorder="1" applyAlignment="1" applyProtection="1">
      <protection hidden="1"/>
    </xf>
    <xf numFmtId="0" fontId="4" fillId="0" borderId="0" xfId="6" applyFont="1" applyBorder="1" applyAlignment="1" applyProtection="1">
      <protection locked="0"/>
    </xf>
    <xf numFmtId="0" fontId="4" fillId="0" borderId="4" xfId="6" applyFont="1" applyBorder="1" applyAlignment="1" applyProtection="1">
      <alignment horizontal="left" shrinkToFit="1"/>
      <protection locked="0"/>
    </xf>
    <xf numFmtId="0" fontId="4" fillId="0" borderId="4" xfId="6" applyFont="1" applyFill="1" applyBorder="1" applyAlignment="1" applyProtection="1">
      <alignment horizontal="center" shrinkToFit="1"/>
      <protection locked="0"/>
    </xf>
    <xf numFmtId="0" fontId="10" fillId="0" borderId="22" xfId="6" applyFont="1" applyBorder="1" applyAlignment="1" applyProtection="1">
      <alignment horizontal="center"/>
      <protection locked="0"/>
    </xf>
    <xf numFmtId="0" fontId="10" fillId="11" borderId="23" xfId="6" applyFont="1" applyFill="1" applyBorder="1" applyAlignment="1" applyProtection="1">
      <alignment horizontal="center"/>
      <protection locked="0"/>
    </xf>
    <xf numFmtId="0" fontId="10" fillId="0" borderId="24" xfId="6" applyFont="1" applyBorder="1" applyAlignment="1" applyProtection="1">
      <alignment shrinkToFit="1"/>
      <protection locked="0"/>
    </xf>
    <xf numFmtId="0" fontId="10" fillId="0" borderId="24" xfId="6" applyFont="1" applyBorder="1" applyAlignment="1" applyProtection="1">
      <alignment horizontal="center" shrinkToFit="1"/>
      <protection locked="0"/>
    </xf>
    <xf numFmtId="43" fontId="10" fillId="0" borderId="24" xfId="1" applyFont="1" applyBorder="1" applyAlignment="1" applyProtection="1">
      <alignment horizontal="center" shrinkToFit="1"/>
      <protection locked="0"/>
    </xf>
    <xf numFmtId="17" fontId="10" fillId="0" borderId="48" xfId="1" quotePrefix="1" applyNumberFormat="1" applyFont="1" applyBorder="1" applyAlignment="1" applyProtection="1">
      <alignment horizontal="center" shrinkToFit="1"/>
      <protection locked="0"/>
    </xf>
    <xf numFmtId="43" fontId="10" fillId="0" borderId="48" xfId="1" applyFont="1" applyBorder="1" applyAlignment="1" applyProtection="1">
      <alignment horizontal="center" shrinkToFit="1"/>
      <protection locked="0"/>
    </xf>
    <xf numFmtId="43" fontId="10" fillId="0" borderId="24" xfId="1" applyFont="1" applyBorder="1" applyAlignment="1" applyProtection="1">
      <alignment shrinkToFit="1"/>
      <protection locked="0"/>
    </xf>
    <xf numFmtId="164" fontId="4" fillId="5" borderId="48" xfId="1" applyNumberFormat="1" applyFont="1" applyFill="1" applyBorder="1" applyAlignment="1" applyProtection="1">
      <protection locked="0"/>
    </xf>
    <xf numFmtId="43" fontId="10" fillId="0" borderId="48" xfId="1" applyFont="1" applyBorder="1" applyAlignment="1" applyProtection="1">
      <alignment shrinkToFit="1"/>
      <protection locked="0"/>
    </xf>
    <xf numFmtId="164" fontId="4" fillId="5" borderId="24" xfId="1" applyNumberFormat="1" applyFont="1" applyFill="1" applyBorder="1" applyAlignment="1" applyProtection="1">
      <protection locked="0"/>
    </xf>
    <xf numFmtId="43" fontId="10" fillId="0" borderId="24" xfId="1" applyFont="1" applyBorder="1" applyAlignment="1" applyProtection="1">
      <alignment horizontal="right" wrapText="1" shrinkToFit="1"/>
      <protection locked="0"/>
    </xf>
    <xf numFmtId="4" fontId="10" fillId="3" borderId="24" xfId="7" applyNumberFormat="1" applyFont="1" applyBorder="1" applyAlignment="1" applyProtection="1">
      <protection hidden="1"/>
    </xf>
    <xf numFmtId="0" fontId="4" fillId="0" borderId="48" xfId="0" applyFont="1" applyBorder="1" applyAlignment="1" applyProtection="1">
      <alignment horizontal="center"/>
      <protection locked="0"/>
    </xf>
    <xf numFmtId="4" fontId="4" fillId="0" borderId="24" xfId="7" applyNumberFormat="1" applyFont="1" applyFill="1" applyBorder="1" applyAlignment="1" applyProtection="1">
      <alignment horizontal="center"/>
      <protection hidden="1"/>
    </xf>
    <xf numFmtId="4" fontId="10" fillId="11" borderId="49" xfId="7" applyNumberFormat="1" applyFont="1" applyFill="1" applyBorder="1" applyAlignment="1" applyProtection="1">
      <alignment horizontal="center"/>
      <protection hidden="1"/>
    </xf>
    <xf numFmtId="0" fontId="4" fillId="0" borderId="49" xfId="0" applyFont="1" applyBorder="1" applyProtection="1">
      <protection locked="0"/>
    </xf>
    <xf numFmtId="0" fontId="4" fillId="0" borderId="39" xfId="0" applyFont="1" applyBorder="1" applyProtection="1">
      <protection locked="0"/>
    </xf>
    <xf numFmtId="0" fontId="4" fillId="5" borderId="30" xfId="6" applyFont="1" applyFill="1" applyBorder="1" applyAlignment="1" applyProtection="1">
      <alignment horizontal="center"/>
      <protection locked="0"/>
    </xf>
    <xf numFmtId="0" fontId="4" fillId="5" borderId="31" xfId="6" applyFont="1" applyFill="1" applyBorder="1" applyAlignment="1" applyProtection="1">
      <alignment horizontal="center"/>
      <protection locked="0"/>
    </xf>
    <xf numFmtId="49" fontId="4" fillId="0" borderId="32" xfId="6" applyNumberFormat="1" applyFont="1" applyBorder="1" applyAlignment="1" applyProtection="1">
      <alignment horizontal="left" shrinkToFit="1"/>
      <protection locked="0"/>
    </xf>
    <xf numFmtId="49" fontId="4" fillId="0" borderId="32" xfId="6" applyNumberFormat="1" applyFont="1" applyBorder="1" applyAlignment="1" applyProtection="1">
      <alignment horizontal="center" shrinkToFit="1"/>
      <protection locked="0"/>
    </xf>
    <xf numFmtId="43" fontId="4" fillId="0" borderId="32" xfId="1" applyFont="1" applyBorder="1" applyAlignment="1" applyProtection="1">
      <alignment horizontal="center" shrinkToFit="1"/>
      <protection locked="0"/>
    </xf>
    <xf numFmtId="0" fontId="4" fillId="0" borderId="32" xfId="1" applyNumberFormat="1" applyFont="1" applyBorder="1" applyAlignment="1" applyProtection="1">
      <alignment horizontal="center" shrinkToFit="1"/>
      <protection locked="0"/>
    </xf>
    <xf numFmtId="43" fontId="4" fillId="0" borderId="32" xfId="1" applyFont="1" applyBorder="1" applyAlignment="1" applyProtection="1">
      <alignment horizontal="left" shrinkToFit="1"/>
      <protection locked="0"/>
    </xf>
    <xf numFmtId="4" fontId="4" fillId="0" borderId="32" xfId="1" applyNumberFormat="1" applyFont="1" applyBorder="1" applyAlignment="1" applyProtection="1">
      <protection locked="0"/>
    </xf>
    <xf numFmtId="4" fontId="4" fillId="3" borderId="32" xfId="7" applyNumberFormat="1" applyFont="1" applyBorder="1" applyAlignment="1" applyProtection="1">
      <protection hidden="1"/>
    </xf>
    <xf numFmtId="14" fontId="4" fillId="0" borderId="32" xfId="0" applyNumberFormat="1" applyFont="1" applyBorder="1" applyAlignment="1" applyProtection="1">
      <alignment horizontal="center"/>
      <protection locked="0"/>
    </xf>
    <xf numFmtId="4" fontId="4" fillId="11" borderId="32" xfId="7" applyNumberFormat="1" applyFont="1" applyFill="1" applyBorder="1" applyAlignment="1" applyProtection="1">
      <alignment horizontal="center"/>
      <protection hidden="1"/>
    </xf>
    <xf numFmtId="4" fontId="4" fillId="11" borderId="50" xfId="7" applyNumberFormat="1" applyFont="1" applyFill="1" applyBorder="1" applyAlignment="1" applyProtection="1">
      <alignment horizontal="center"/>
      <protection hidden="1"/>
    </xf>
    <xf numFmtId="14" fontId="4" fillId="0" borderId="50" xfId="0" applyNumberFormat="1" applyFont="1" applyBorder="1" applyProtection="1">
      <protection locked="0"/>
    </xf>
    <xf numFmtId="0" fontId="53" fillId="14" borderId="24" xfId="0" applyFont="1" applyFill="1" applyBorder="1" applyAlignment="1">
      <alignment horizontal="center" vertical="center" wrapText="1"/>
    </xf>
    <xf numFmtId="0" fontId="39" fillId="15" borderId="51" xfId="0" applyFont="1" applyFill="1" applyBorder="1" applyAlignment="1">
      <alignment horizontal="center" vertical="center" wrapText="1"/>
    </xf>
    <xf numFmtId="0" fontId="39" fillId="14" borderId="51" xfId="0" applyFont="1" applyFill="1" applyBorder="1" applyAlignment="1">
      <alignment horizontal="center" vertical="center" wrapText="1"/>
    </xf>
    <xf numFmtId="0" fontId="40" fillId="5" borderId="30" xfId="6" applyFont="1" applyFill="1" applyBorder="1" applyAlignment="1" applyProtection="1">
      <alignment horizontal="center"/>
      <protection locked="0"/>
    </xf>
    <xf numFmtId="0" fontId="40" fillId="5" borderId="31" xfId="6" applyFont="1" applyFill="1" applyBorder="1" applyAlignment="1" applyProtection="1">
      <alignment horizontal="center"/>
      <protection locked="0"/>
    </xf>
    <xf numFmtId="49" fontId="36" fillId="0" borderId="32" xfId="6" applyNumberFormat="1" applyFont="1" applyBorder="1" applyAlignment="1" applyProtection="1">
      <alignment horizontal="left" shrinkToFit="1"/>
      <protection locked="0"/>
    </xf>
    <xf numFmtId="0" fontId="10" fillId="0" borderId="32" xfId="1" applyNumberFormat="1" applyFont="1" applyBorder="1" applyAlignment="1" applyProtection="1">
      <alignment horizontal="center" shrinkToFit="1"/>
      <protection locked="0"/>
    </xf>
    <xf numFmtId="4" fontId="10" fillId="3" borderId="32" xfId="7" applyNumberFormat="1" applyFont="1" applyBorder="1" applyAlignment="1" applyProtection="1">
      <protection hidden="1"/>
    </xf>
    <xf numFmtId="4" fontId="10" fillId="11" borderId="32" xfId="7" applyNumberFormat="1" applyFont="1" applyFill="1" applyBorder="1" applyAlignment="1" applyProtection="1">
      <alignment horizontal="center"/>
      <protection hidden="1"/>
    </xf>
    <xf numFmtId="4" fontId="10" fillId="11" borderId="50" xfId="7" applyNumberFormat="1" applyFont="1" applyFill="1" applyBorder="1" applyAlignment="1" applyProtection="1">
      <alignment horizontal="center"/>
      <protection hidden="1"/>
    </xf>
    <xf numFmtId="0" fontId="10" fillId="0" borderId="52" xfId="6" applyFont="1" applyBorder="1" applyAlignment="1" applyProtection="1">
      <alignment horizontal="center"/>
      <protection locked="0"/>
    </xf>
    <xf numFmtId="0" fontId="10" fillId="0" borderId="53" xfId="6" applyFont="1" applyBorder="1" applyAlignment="1" applyProtection="1">
      <alignment horizontal="center"/>
      <protection locked="0"/>
    </xf>
    <xf numFmtId="0" fontId="10" fillId="0" borderId="54" xfId="6" applyFont="1" applyBorder="1" applyAlignment="1" applyProtection="1">
      <alignment shrinkToFit="1"/>
      <protection locked="0"/>
    </xf>
    <xf numFmtId="43" fontId="10" fillId="0" borderId="54" xfId="1" applyFont="1" applyBorder="1" applyAlignment="1" applyProtection="1">
      <alignment horizontal="center" shrinkToFit="1"/>
      <protection locked="0"/>
    </xf>
    <xf numFmtId="17" fontId="10" fillId="0" borderId="54" xfId="1" applyNumberFormat="1" applyFont="1" applyBorder="1" applyAlignment="1" applyProtection="1">
      <alignment horizontal="center" shrinkToFit="1"/>
      <protection locked="0"/>
    </xf>
    <xf numFmtId="43" fontId="10" fillId="0" borderId="4" xfId="1" applyFont="1" applyBorder="1" applyAlignment="1" applyProtection="1">
      <alignment shrinkToFit="1"/>
      <protection locked="0"/>
    </xf>
    <xf numFmtId="43" fontId="10" fillId="0" borderId="54" xfId="1" applyFont="1" applyFill="1" applyBorder="1" applyAlignment="1" applyProtection="1">
      <alignment horizontal="center" shrinkToFit="1"/>
      <protection locked="0"/>
    </xf>
    <xf numFmtId="164" fontId="4" fillId="5" borderId="54" xfId="1" applyNumberFormat="1" applyFont="1" applyFill="1" applyBorder="1" applyAlignment="1" applyProtection="1">
      <protection locked="0"/>
    </xf>
    <xf numFmtId="43" fontId="10" fillId="0" borderId="54" xfId="1" applyFont="1" applyBorder="1" applyAlignment="1" applyProtection="1">
      <alignment shrinkToFit="1"/>
      <protection locked="0"/>
    </xf>
    <xf numFmtId="43" fontId="10" fillId="0" borderId="4" xfId="1" applyFont="1" applyBorder="1" applyAlignment="1" applyProtection="1">
      <alignment horizontal="right" wrapText="1" shrinkToFit="1"/>
      <protection locked="0"/>
    </xf>
    <xf numFmtId="0" fontId="4" fillId="0" borderId="54" xfId="0" applyFont="1" applyBorder="1" applyAlignment="1" applyProtection="1">
      <alignment horizontal="center"/>
      <protection locked="0"/>
    </xf>
    <xf numFmtId="4" fontId="10" fillId="11" borderId="54" xfId="7" applyNumberFormat="1" applyFont="1" applyFill="1" applyBorder="1" applyAlignment="1" applyProtection="1">
      <alignment horizontal="center"/>
      <protection hidden="1"/>
    </xf>
    <xf numFmtId="0" fontId="4" fillId="0" borderId="55" xfId="0" applyFont="1" applyBorder="1" applyAlignment="1" applyProtection="1">
      <alignment horizontal="center"/>
      <protection locked="0"/>
    </xf>
    <xf numFmtId="0" fontId="4" fillId="0" borderId="56" xfId="6" applyFont="1" applyBorder="1" applyAlignment="1" applyProtection="1">
      <alignment horizontal="center"/>
      <protection locked="0"/>
    </xf>
    <xf numFmtId="0" fontId="4" fillId="0" borderId="57" xfId="6" applyFont="1" applyBorder="1" applyAlignment="1" applyProtection="1">
      <alignment horizontal="center"/>
      <protection locked="0"/>
    </xf>
    <xf numFmtId="0" fontId="10" fillId="0" borderId="48" xfId="6" applyFont="1" applyBorder="1" applyAlignment="1" applyProtection="1">
      <alignment shrinkToFit="1"/>
      <protection locked="0"/>
    </xf>
    <xf numFmtId="0" fontId="4" fillId="0" borderId="58" xfId="0" applyFont="1" applyBorder="1" applyAlignment="1" applyProtection="1">
      <alignment horizontal="center"/>
      <protection locked="0"/>
    </xf>
    <xf numFmtId="0" fontId="4" fillId="0" borderId="38" xfId="0" applyFont="1" applyBorder="1" applyAlignment="1" applyProtection="1">
      <alignment horizontal="center"/>
      <protection locked="0"/>
    </xf>
    <xf numFmtId="0" fontId="36" fillId="0" borderId="32" xfId="6" applyFont="1" applyBorder="1" applyAlignment="1" applyProtection="1">
      <alignment horizontal="left" shrinkToFit="1"/>
      <protection locked="0"/>
    </xf>
    <xf numFmtId="0" fontId="4" fillId="0" borderId="32" xfId="6" applyFont="1" applyBorder="1" applyAlignment="1" applyProtection="1">
      <alignment horizontal="center" shrinkToFit="1"/>
      <protection locked="0"/>
    </xf>
    <xf numFmtId="0" fontId="10" fillId="0" borderId="32" xfId="6" applyFont="1" applyBorder="1" applyAlignment="1" applyProtection="1">
      <alignment horizontal="center" shrinkToFit="1"/>
      <protection locked="0"/>
    </xf>
    <xf numFmtId="43" fontId="10" fillId="0" borderId="32" xfId="1" applyFont="1" applyBorder="1" applyAlignment="1" applyProtection="1">
      <alignment horizontal="center" shrinkToFit="1"/>
      <protection locked="0"/>
    </xf>
    <xf numFmtId="4" fontId="10" fillId="0" borderId="32" xfId="1" applyNumberFormat="1" applyFont="1" applyBorder="1" applyAlignment="1" applyProtection="1">
      <protection locked="0"/>
    </xf>
    <xf numFmtId="14" fontId="4" fillId="0" borderId="50" xfId="0" applyNumberFormat="1" applyFont="1" applyBorder="1" applyAlignment="1" applyProtection="1">
      <alignment horizontal="center"/>
      <protection locked="0"/>
    </xf>
    <xf numFmtId="0" fontId="10" fillId="10" borderId="0" xfId="6" applyFont="1" applyFill="1" applyBorder="1" applyAlignment="1" applyProtection="1">
      <protection locked="0"/>
    </xf>
    <xf numFmtId="17" fontId="4" fillId="0" borderId="4" xfId="1" applyNumberFormat="1" applyFont="1" applyBorder="1" applyAlignment="1" applyProtection="1">
      <alignment horizontal="center" shrinkToFit="1"/>
      <protection locked="0"/>
    </xf>
    <xf numFmtId="0" fontId="30" fillId="0" borderId="46" xfId="10" applyFont="1" applyBorder="1" applyAlignment="1">
      <alignment horizontal="left"/>
    </xf>
    <xf numFmtId="9" fontId="30" fillId="0" borderId="44" xfId="9" applyFont="1" applyBorder="1" applyAlignment="1">
      <alignment horizontal="center"/>
    </xf>
    <xf numFmtId="0" fontId="30" fillId="0" borderId="51" xfId="12" applyFont="1" applyBorder="1" applyAlignment="1">
      <alignment horizontal="left"/>
    </xf>
    <xf numFmtId="43" fontId="46" fillId="0" borderId="66" xfId="1" applyFont="1" applyFill="1" applyBorder="1" applyAlignment="1" applyProtection="1">
      <alignment horizontal="center" vertical="center" shrinkToFit="1"/>
      <protection locked="0"/>
    </xf>
    <xf numFmtId="43" fontId="6" fillId="0" borderId="0" xfId="1" applyFont="1" applyProtection="1">
      <protection locked="0"/>
    </xf>
    <xf numFmtId="0" fontId="30" fillId="11" borderId="4" xfId="10" applyFont="1" applyFill="1" applyBorder="1" applyAlignment="1">
      <alignment vertical="top"/>
    </xf>
    <xf numFmtId="0" fontId="30" fillId="11" borderId="4" xfId="10" applyFont="1" applyFill="1" applyBorder="1" applyAlignment="1"/>
    <xf numFmtId="0" fontId="30" fillId="11" borderId="4" xfId="10" applyFont="1" applyFill="1" applyBorder="1" applyAlignment="1">
      <alignment horizontal="right"/>
    </xf>
    <xf numFmtId="0" fontId="13" fillId="5" borderId="4" xfId="10" applyFont="1" applyFill="1" applyBorder="1" applyAlignment="1">
      <alignment vertical="top" wrapText="1"/>
    </xf>
    <xf numFmtId="0" fontId="0" fillId="0" borderId="0" xfId="0" applyAlignment="1">
      <alignment horizontal="center"/>
    </xf>
    <xf numFmtId="0" fontId="3" fillId="0" borderId="46" xfId="0" applyFont="1" applyBorder="1"/>
    <xf numFmtId="0" fontId="43" fillId="0" borderId="46" xfId="0" applyFont="1" applyBorder="1"/>
    <xf numFmtId="0" fontId="0" fillId="0" borderId="46" xfId="0" applyBorder="1"/>
    <xf numFmtId="0" fontId="0" fillId="26" borderId="46" xfId="0" applyFill="1" applyBorder="1"/>
    <xf numFmtId="0" fontId="42" fillId="16" borderId="70" xfId="0" applyFont="1" applyFill="1" applyBorder="1" applyAlignment="1">
      <alignment horizontal="center" vertical="top" wrapText="1"/>
    </xf>
    <xf numFmtId="0" fontId="13" fillId="0" borderId="0" xfId="12" applyFont="1" applyAlignment="1">
      <alignment vertical="top"/>
    </xf>
    <xf numFmtId="0" fontId="13" fillId="0" borderId="0" xfId="12" applyFont="1" applyAlignment="1">
      <alignment vertical="center"/>
    </xf>
    <xf numFmtId="9" fontId="30" fillId="0" borderId="44" xfId="9" applyFont="1" applyFill="1" applyBorder="1" applyAlignment="1">
      <alignment horizontal="center"/>
    </xf>
    <xf numFmtId="0" fontId="22" fillId="0" borderId="46" xfId="10" applyFont="1" applyBorder="1" applyAlignment="1"/>
    <xf numFmtId="0" fontId="56" fillId="29" borderId="46" xfId="10" applyFont="1" applyFill="1" applyBorder="1" applyAlignment="1">
      <alignment horizontal="center" vertical="center"/>
    </xf>
    <xf numFmtId="43" fontId="28" fillId="0" borderId="0" xfId="11" applyFont="1" applyFill="1" applyBorder="1" applyAlignment="1">
      <alignment horizontal="center" vertical="center" wrapText="1"/>
    </xf>
    <xf numFmtId="164" fontId="60" fillId="0" borderId="46" xfId="10" applyNumberFormat="1" applyFont="1" applyBorder="1" applyAlignment="1"/>
    <xf numFmtId="49" fontId="61" fillId="0" borderId="46" xfId="10" applyNumberFormat="1" applyFont="1" applyBorder="1" applyAlignment="1"/>
    <xf numFmtId="0" fontId="60" fillId="0" borderId="46" xfId="10" applyFont="1" applyBorder="1" applyAlignment="1"/>
    <xf numFmtId="164" fontId="61" fillId="0" borderId="46" xfId="10" applyNumberFormat="1" applyFont="1" applyBorder="1" applyAlignment="1"/>
    <xf numFmtId="0" fontId="22" fillId="24" borderId="46" xfId="10" applyFont="1" applyFill="1" applyBorder="1" applyAlignment="1">
      <alignment vertical="center"/>
    </xf>
    <xf numFmtId="0" fontId="22" fillId="24" borderId="46" xfId="10" applyFont="1" applyFill="1" applyBorder="1" applyAlignment="1">
      <alignment horizontal="center" vertical="center"/>
    </xf>
    <xf numFmtId="0" fontId="22" fillId="30" borderId="17" xfId="10" applyFont="1" applyFill="1" applyBorder="1" applyAlignment="1"/>
    <xf numFmtId="43" fontId="28" fillId="11" borderId="0" xfId="11" applyFont="1" applyFill="1" applyBorder="1" applyAlignment="1">
      <alignment horizontal="center" vertical="center" wrapText="1"/>
    </xf>
    <xf numFmtId="43" fontId="30" fillId="11" borderId="0" xfId="11" applyFont="1" applyFill="1" applyBorder="1" applyAlignment="1">
      <alignment horizontal="left"/>
    </xf>
    <xf numFmtId="43" fontId="30" fillId="11" borderId="0" xfId="11" applyFont="1" applyFill="1" applyBorder="1" applyAlignment="1"/>
    <xf numFmtId="164" fontId="22" fillId="11" borderId="0" xfId="10" applyNumberFormat="1" applyFont="1" applyFill="1" applyAlignment="1"/>
    <xf numFmtId="43" fontId="22" fillId="11" borderId="0" xfId="10" applyNumberFormat="1" applyFont="1" applyFill="1" applyAlignment="1"/>
    <xf numFmtId="0" fontId="22" fillId="11" borderId="0" xfId="10" applyFont="1" applyFill="1" applyAlignment="1"/>
    <xf numFmtId="0" fontId="37" fillId="11" borderId="0" xfId="10" applyFont="1" applyFill="1" applyAlignment="1">
      <alignment horizontal="left"/>
    </xf>
    <xf numFmtId="0" fontId="37" fillId="11" borderId="0" xfId="10" applyFont="1" applyFill="1"/>
    <xf numFmtId="43" fontId="37" fillId="11" borderId="0" xfId="11" applyFont="1" applyFill="1"/>
    <xf numFmtId="43" fontId="49" fillId="11" borderId="0" xfId="11" applyFont="1" applyFill="1" applyAlignment="1">
      <alignment horizontal="right"/>
    </xf>
    <xf numFmtId="0" fontId="8" fillId="11" borderId="0" xfId="10" applyFont="1" applyFill="1" applyBorder="1" applyAlignment="1"/>
    <xf numFmtId="43" fontId="28" fillId="11" borderId="0" xfId="11" applyFont="1" applyFill="1" applyAlignment="1"/>
    <xf numFmtId="0" fontId="28" fillId="11" borderId="0" xfId="10" applyFont="1" applyFill="1" applyAlignment="1"/>
    <xf numFmtId="0" fontId="13" fillId="11" borderId="0" xfId="12" applyFont="1" applyFill="1"/>
    <xf numFmtId="0" fontId="22" fillId="11" borderId="0" xfId="12" applyFont="1" applyFill="1"/>
    <xf numFmtId="0" fontId="8" fillId="11" borderId="0" xfId="12" applyFont="1" applyFill="1" applyAlignment="1">
      <alignment horizontal="center"/>
    </xf>
    <xf numFmtId="0" fontId="8" fillId="11" borderId="0" xfId="12" applyFont="1" applyFill="1"/>
    <xf numFmtId="43" fontId="13" fillId="11" borderId="0" xfId="11" applyFont="1" applyFill="1" applyBorder="1" applyAlignment="1"/>
    <xf numFmtId="43" fontId="22" fillId="11" borderId="0" xfId="11" applyFont="1" applyFill="1" applyBorder="1" applyAlignment="1"/>
    <xf numFmtId="43" fontId="22" fillId="11" borderId="0" xfId="11" applyFont="1" applyFill="1" applyAlignment="1"/>
    <xf numFmtId="0" fontId="30" fillId="11" borderId="0" xfId="12" applyFont="1" applyFill="1"/>
    <xf numFmtId="0" fontId="6" fillId="11" borderId="0" xfId="12" applyFont="1" applyFill="1"/>
    <xf numFmtId="43" fontId="30" fillId="11" borderId="0" xfId="9" applyNumberFormat="1" applyFont="1" applyFill="1" applyAlignment="1"/>
    <xf numFmtId="0" fontId="30" fillId="11" borderId="46" xfId="12" applyFont="1" applyFill="1" applyBorder="1"/>
    <xf numFmtId="9" fontId="30" fillId="11" borderId="46" xfId="9" applyFont="1" applyFill="1" applyBorder="1" applyAlignment="1">
      <alignment horizontal="center"/>
    </xf>
    <xf numFmtId="164" fontId="26" fillId="11" borderId="0" xfId="10" applyNumberFormat="1" applyFont="1" applyFill="1" applyAlignment="1"/>
    <xf numFmtId="0" fontId="22" fillId="32" borderId="0" xfId="10" applyFont="1" applyFill="1" applyAlignment="1"/>
    <xf numFmtId="164" fontId="25" fillId="11" borderId="0" xfId="10" applyNumberFormat="1" applyFont="1" applyFill="1" applyAlignment="1"/>
    <xf numFmtId="0" fontId="22" fillId="11" borderId="17" xfId="10" applyFont="1" applyFill="1" applyBorder="1" applyAlignment="1"/>
    <xf numFmtId="0" fontId="22" fillId="11" borderId="0" xfId="10" applyFont="1" applyFill="1" applyBorder="1" applyAlignment="1"/>
    <xf numFmtId="0" fontId="22" fillId="11" borderId="0" xfId="10" applyFont="1" applyFill="1"/>
    <xf numFmtId="0" fontId="42" fillId="16" borderId="79" xfId="0" applyFont="1" applyFill="1" applyBorder="1" applyAlignment="1">
      <alignment horizontal="center" vertical="top" wrapText="1"/>
    </xf>
    <xf numFmtId="0" fontId="43" fillId="0" borderId="12" xfId="0" applyFont="1" applyBorder="1"/>
    <xf numFmtId="43" fontId="46" fillId="0" borderId="4" xfId="1" applyFont="1" applyFill="1" applyBorder="1" applyAlignment="1" applyProtection="1">
      <alignment horizontal="center" vertical="center" shrinkToFit="1"/>
      <protection locked="0"/>
    </xf>
    <xf numFmtId="43" fontId="45" fillId="0" borderId="68" xfId="1" applyFont="1" applyFill="1" applyBorder="1" applyAlignment="1">
      <alignment horizontal="center"/>
    </xf>
    <xf numFmtId="43" fontId="46" fillId="0" borderId="3" xfId="1" applyFont="1" applyFill="1" applyBorder="1" applyAlignment="1" applyProtection="1">
      <alignment horizontal="center" vertical="center" shrinkToFit="1"/>
      <protection locked="0"/>
    </xf>
    <xf numFmtId="43" fontId="45" fillId="0" borderId="77" xfId="1" applyFont="1" applyFill="1" applyBorder="1" applyAlignment="1">
      <alignment horizontal="center"/>
    </xf>
    <xf numFmtId="43" fontId="45" fillId="0" borderId="69" xfId="1" applyFont="1" applyFill="1" applyBorder="1" applyAlignment="1">
      <alignment horizontal="center"/>
    </xf>
    <xf numFmtId="43" fontId="46" fillId="0" borderId="77" xfId="1" applyFont="1" applyFill="1" applyBorder="1" applyAlignment="1" applyProtection="1">
      <alignment vertical="center" shrinkToFit="1"/>
      <protection locked="0"/>
    </xf>
    <xf numFmtId="43" fontId="46" fillId="0" borderId="26" xfId="1" applyFont="1" applyFill="1" applyBorder="1" applyAlignment="1" applyProtection="1">
      <alignment horizontal="center" vertical="center" shrinkToFit="1"/>
      <protection locked="0"/>
    </xf>
    <xf numFmtId="43" fontId="46" fillId="0" borderId="26" xfId="1" applyFont="1" applyFill="1" applyBorder="1" applyAlignment="1" applyProtection="1">
      <alignment horizontal="left" vertical="center" shrinkToFit="1"/>
      <protection locked="0"/>
    </xf>
    <xf numFmtId="43" fontId="46" fillId="33" borderId="65" xfId="1" applyFont="1" applyFill="1" applyBorder="1" applyAlignment="1" applyProtection="1">
      <alignment horizontal="center" vertical="center" shrinkToFit="1"/>
      <protection locked="0"/>
    </xf>
    <xf numFmtId="43" fontId="46" fillId="33" borderId="75" xfId="1" applyFont="1" applyFill="1" applyBorder="1" applyAlignment="1" applyProtection="1">
      <alignment vertical="center" shrinkToFit="1"/>
      <protection locked="0"/>
    </xf>
    <xf numFmtId="17" fontId="0" fillId="0" borderId="46" xfId="0" applyNumberFormat="1" applyBorder="1"/>
    <xf numFmtId="10" fontId="0" fillId="0" borderId="46" xfId="0" applyNumberFormat="1" applyBorder="1"/>
    <xf numFmtId="0" fontId="63" fillId="35" borderId="46" xfId="0" applyFont="1" applyFill="1" applyBorder="1" applyAlignment="1">
      <alignment vertical="top"/>
    </xf>
    <xf numFmtId="0" fontId="63" fillId="35" borderId="46" xfId="0" applyFont="1" applyFill="1" applyBorder="1" applyAlignment="1">
      <alignment vertical="center"/>
    </xf>
    <xf numFmtId="43" fontId="54" fillId="32" borderId="76" xfId="1" applyFont="1" applyFill="1" applyBorder="1" applyAlignment="1" applyProtection="1">
      <alignment vertical="center" shrinkToFit="1"/>
      <protection locked="0"/>
    </xf>
    <xf numFmtId="43" fontId="54" fillId="32" borderId="78" xfId="1" applyFont="1" applyFill="1" applyBorder="1" applyAlignment="1" applyProtection="1">
      <alignment vertical="center" shrinkToFit="1"/>
      <protection locked="0"/>
    </xf>
    <xf numFmtId="43" fontId="54" fillId="32" borderId="63" xfId="1" applyFont="1" applyFill="1" applyBorder="1" applyAlignment="1" applyProtection="1">
      <alignment horizontal="left" vertical="center" shrinkToFit="1"/>
      <protection locked="0"/>
    </xf>
    <xf numFmtId="43" fontId="6" fillId="32" borderId="74" xfId="1" applyFont="1" applyFill="1" applyBorder="1" applyAlignment="1" applyProtection="1">
      <alignment horizontal="center"/>
      <protection locked="0"/>
    </xf>
    <xf numFmtId="43" fontId="54" fillId="0" borderId="67" xfId="1" applyFont="1" applyFill="1" applyBorder="1" applyAlignment="1" applyProtection="1">
      <alignment vertical="center" shrinkToFit="1"/>
      <protection locked="0"/>
    </xf>
    <xf numFmtId="43" fontId="54" fillId="0" borderId="67" xfId="1" applyFont="1" applyFill="1" applyBorder="1" applyAlignment="1" applyProtection="1">
      <alignment vertical="center"/>
      <protection locked="0"/>
    </xf>
    <xf numFmtId="43" fontId="54" fillId="0" borderId="82" xfId="1" applyFont="1" applyFill="1" applyBorder="1" applyAlignment="1" applyProtection="1">
      <alignment horizontal="left" vertical="center" shrinkToFit="1"/>
      <protection locked="0"/>
    </xf>
    <xf numFmtId="1" fontId="65" fillId="0" borderId="69" xfId="1" applyNumberFormat="1" applyFont="1" applyFill="1" applyBorder="1" applyAlignment="1" applyProtection="1">
      <alignment horizontal="left" vertical="center" shrinkToFit="1"/>
      <protection locked="0"/>
    </xf>
    <xf numFmtId="1" fontId="65" fillId="0" borderId="4" xfId="1" applyNumberFormat="1" applyFont="1" applyFill="1" applyBorder="1" applyAlignment="1" applyProtection="1">
      <alignment horizontal="center" vertical="center" shrinkToFit="1"/>
      <protection locked="0"/>
    </xf>
    <xf numFmtId="43" fontId="65" fillId="0" borderId="68" xfId="1" applyFont="1" applyFill="1" applyBorder="1" applyAlignment="1">
      <alignment horizontal="center"/>
    </xf>
    <xf numFmtId="43" fontId="65" fillId="0" borderId="3" xfId="1" applyFont="1" applyFill="1" applyBorder="1" applyAlignment="1" applyProtection="1">
      <alignment horizontal="center" vertical="center" shrinkToFit="1"/>
      <protection locked="0"/>
    </xf>
    <xf numFmtId="43" fontId="65" fillId="0" borderId="0" xfId="1" applyFont="1" applyAlignment="1" applyProtection="1">
      <alignment horizontal="center"/>
      <protection locked="0"/>
    </xf>
    <xf numFmtId="43" fontId="65" fillId="0" borderId="69" xfId="1" applyFont="1" applyFill="1" applyBorder="1" applyAlignment="1">
      <alignment horizontal="center"/>
    </xf>
    <xf numFmtId="43" fontId="65" fillId="0" borderId="4" xfId="1" applyFont="1" applyFill="1" applyBorder="1" applyAlignment="1" applyProtection="1">
      <alignment horizontal="center" vertical="center" shrinkToFit="1"/>
      <protection locked="0"/>
    </xf>
    <xf numFmtId="43" fontId="64" fillId="0" borderId="0" xfId="1" applyFont="1" applyProtection="1">
      <protection locked="0"/>
    </xf>
    <xf numFmtId="43" fontId="66" fillId="34" borderId="80" xfId="1" applyFont="1" applyFill="1" applyBorder="1" applyAlignment="1" applyProtection="1">
      <alignment horizontal="center" vertical="top" wrapText="1"/>
      <protection locked="0"/>
    </xf>
    <xf numFmtId="43" fontId="66" fillId="34" borderId="63" xfId="1" applyFont="1" applyFill="1" applyBorder="1" applyAlignment="1" applyProtection="1">
      <alignment horizontal="center" vertical="top" wrapText="1"/>
      <protection locked="0"/>
    </xf>
    <xf numFmtId="43" fontId="2" fillId="11" borderId="0" xfId="1" applyFont="1" applyFill="1" applyBorder="1" applyAlignment="1" applyProtection="1">
      <alignment horizontal="centerContinuous"/>
      <protection locked="0"/>
    </xf>
    <xf numFmtId="43" fontId="6" fillId="11" borderId="0" xfId="1" applyFont="1" applyFill="1" applyAlignment="1" applyProtection="1">
      <alignment horizontal="centerContinuous" vertical="center"/>
      <protection locked="0"/>
    </xf>
    <xf numFmtId="43" fontId="6" fillId="11" borderId="0" xfId="1" applyFont="1" applyFill="1" applyAlignment="1" applyProtection="1">
      <alignment horizontal="center"/>
      <protection locked="0"/>
    </xf>
    <xf numFmtId="43" fontId="45" fillId="11" borderId="0" xfId="1" applyFont="1" applyFill="1" applyAlignment="1" applyProtection="1">
      <alignment horizontal="center"/>
      <protection locked="0"/>
    </xf>
    <xf numFmtId="9" fontId="45" fillId="11" borderId="0" xfId="1" applyNumberFormat="1" applyFont="1" applyFill="1" applyAlignment="1" applyProtection="1">
      <alignment horizontal="center"/>
      <protection locked="0"/>
    </xf>
    <xf numFmtId="9" fontId="62" fillId="11" borderId="0" xfId="1" applyNumberFormat="1" applyFont="1" applyFill="1" applyAlignment="1" applyProtection="1">
      <alignment horizontal="center"/>
      <protection locked="0"/>
    </xf>
    <xf numFmtId="0" fontId="30" fillId="0" borderId="84" xfId="10" applyFont="1" applyBorder="1" applyAlignment="1">
      <alignment horizontal="left"/>
    </xf>
    <xf numFmtId="0" fontId="30" fillId="5" borderId="24" xfId="10" applyFont="1" applyFill="1" applyBorder="1" applyAlignment="1">
      <alignment horizontal="center"/>
    </xf>
    <xf numFmtId="0" fontId="30" fillId="0" borderId="84" xfId="11" applyNumberFormat="1" applyFont="1" applyBorder="1" applyAlignment="1">
      <alignment horizontal="center"/>
    </xf>
    <xf numFmtId="43" fontId="30" fillId="0" borderId="84" xfId="11" applyFont="1" applyBorder="1" applyAlignment="1"/>
    <xf numFmtId="43" fontId="31" fillId="8" borderId="84" xfId="11" applyFont="1" applyFill="1" applyBorder="1" applyAlignment="1"/>
    <xf numFmtId="43" fontId="30" fillId="5" borderId="87" xfId="11" applyFont="1" applyFill="1" applyBorder="1" applyAlignment="1"/>
    <xf numFmtId="0" fontId="30" fillId="0" borderId="46" xfId="11" applyNumberFormat="1" applyFont="1" applyBorder="1" applyAlignment="1">
      <alignment horizontal="center"/>
    </xf>
    <xf numFmtId="43" fontId="30" fillId="0" borderId="46" xfId="11" applyFont="1" applyBorder="1" applyAlignment="1"/>
    <xf numFmtId="43" fontId="31" fillId="8" borderId="46" xfId="11" applyFont="1" applyFill="1" applyBorder="1" applyAlignment="1"/>
    <xf numFmtId="43" fontId="30" fillId="0" borderId="88" xfId="11" applyFont="1" applyFill="1" applyBorder="1" applyAlignment="1"/>
    <xf numFmtId="43" fontId="30" fillId="5" borderId="88" xfId="11" applyFont="1" applyFill="1" applyBorder="1" applyAlignment="1"/>
    <xf numFmtId="0" fontId="27" fillId="0" borderId="30" xfId="10" applyFont="1" applyBorder="1" applyAlignment="1">
      <alignment horizontal="center"/>
    </xf>
    <xf numFmtId="0" fontId="30" fillId="0" borderId="32" xfId="10" applyFont="1" applyBorder="1" applyAlignment="1"/>
    <xf numFmtId="0" fontId="30" fillId="0" borderId="89" xfId="10" applyFont="1" applyBorder="1" applyAlignment="1">
      <alignment horizontal="left"/>
    </xf>
    <xf numFmtId="0" fontId="30" fillId="5" borderId="32" xfId="10" applyFont="1" applyFill="1" applyBorder="1" applyAlignment="1">
      <alignment horizontal="center"/>
    </xf>
    <xf numFmtId="0" fontId="30" fillId="0" borderId="89" xfId="11" applyNumberFormat="1" applyFont="1" applyBorder="1" applyAlignment="1">
      <alignment horizontal="center"/>
    </xf>
    <xf numFmtId="43" fontId="30" fillId="0" borderId="89" xfId="11" applyFont="1" applyBorder="1" applyAlignment="1"/>
    <xf numFmtId="43" fontId="31" fillId="8" borderId="89" xfId="11" applyFont="1" applyFill="1" applyBorder="1" applyAlignment="1"/>
    <xf numFmtId="43" fontId="30" fillId="5" borderId="90" xfId="11" applyFont="1" applyFill="1" applyBorder="1" applyAlignment="1"/>
    <xf numFmtId="0" fontId="28" fillId="27" borderId="91" xfId="10" applyFont="1" applyFill="1" applyBorder="1" applyAlignment="1">
      <alignment horizontal="center" vertical="center"/>
    </xf>
    <xf numFmtId="43" fontId="29" fillId="27" borderId="91" xfId="11" applyFont="1" applyFill="1" applyBorder="1" applyAlignment="1">
      <alignment horizontal="center" vertical="center" wrapText="1"/>
    </xf>
    <xf numFmtId="43" fontId="29" fillId="27" borderId="91" xfId="11" applyFont="1" applyFill="1" applyBorder="1" applyAlignment="1">
      <alignment horizontal="center" vertical="center"/>
    </xf>
    <xf numFmtId="43" fontId="28" fillId="27" borderId="92" xfId="11" applyFont="1" applyFill="1" applyBorder="1" applyAlignment="1">
      <alignment horizontal="center" vertical="center" wrapText="1"/>
    </xf>
    <xf numFmtId="0" fontId="27" fillId="5" borderId="22" xfId="10" applyFont="1" applyFill="1" applyBorder="1" applyAlignment="1">
      <alignment horizontal="center"/>
    </xf>
    <xf numFmtId="0" fontId="30" fillId="11" borderId="24" xfId="10" applyFont="1" applyFill="1" applyBorder="1" applyAlignment="1">
      <alignment vertical="top"/>
    </xf>
    <xf numFmtId="0" fontId="31" fillId="5" borderId="84" xfId="11" applyNumberFormat="1" applyFont="1" applyFill="1" applyBorder="1" applyAlignment="1">
      <alignment horizontal="center"/>
    </xf>
    <xf numFmtId="43" fontId="31" fillId="5" borderId="84" xfId="11" applyFont="1" applyFill="1" applyBorder="1" applyAlignment="1"/>
    <xf numFmtId="0" fontId="27" fillId="5" borderId="26" xfId="10" applyFont="1" applyFill="1" applyBorder="1" applyAlignment="1">
      <alignment horizontal="center"/>
    </xf>
    <xf numFmtId="0" fontId="31" fillId="5" borderId="46" xfId="11" applyNumberFormat="1" applyFont="1" applyFill="1" applyBorder="1" applyAlignment="1">
      <alignment horizontal="center"/>
    </xf>
    <xf numFmtId="43" fontId="31" fillId="5" borderId="46" xfId="11" applyFont="1" applyFill="1" applyBorder="1" applyAlignment="1"/>
    <xf numFmtId="0" fontId="27" fillId="5" borderId="30" xfId="10" applyFont="1" applyFill="1" applyBorder="1" applyAlignment="1">
      <alignment horizontal="center"/>
    </xf>
    <xf numFmtId="0" fontId="30" fillId="11" borderId="32" xfId="10" applyFont="1" applyFill="1" applyBorder="1" applyAlignment="1">
      <alignment horizontal="right"/>
    </xf>
    <xf numFmtId="41" fontId="13" fillId="5" borderId="32" xfId="10" applyNumberFormat="1" applyFont="1" applyFill="1" applyBorder="1" applyAlignment="1">
      <alignment horizontal="center"/>
    </xf>
    <xf numFmtId="0" fontId="31" fillId="5" borderId="89" xfId="11" applyNumberFormat="1" applyFont="1" applyFill="1" applyBorder="1" applyAlignment="1">
      <alignment horizontal="center"/>
    </xf>
    <xf numFmtId="43" fontId="31" fillId="5" borderId="89" xfId="11" applyFont="1" applyFill="1" applyBorder="1" applyAlignment="1"/>
    <xf numFmtId="0" fontId="13" fillId="5" borderId="32" xfId="10" applyFont="1" applyFill="1" applyBorder="1" applyAlignment="1">
      <alignment vertical="top" wrapText="1"/>
    </xf>
    <xf numFmtId="0" fontId="33" fillId="6" borderId="93" xfId="10" applyFont="1" applyFill="1" applyBorder="1" applyAlignment="1"/>
    <xf numFmtId="0" fontId="34" fillId="6" borderId="94" xfId="10" applyFont="1" applyFill="1" applyBorder="1" applyAlignment="1">
      <alignment horizontal="center"/>
    </xf>
    <xf numFmtId="0" fontId="35" fillId="6" borderId="94" xfId="11" applyNumberFormat="1" applyFont="1" applyFill="1" applyBorder="1" applyAlignment="1">
      <alignment horizontal="center"/>
    </xf>
    <xf numFmtId="43" fontId="35" fillId="6" borderId="95" xfId="11" applyFont="1" applyFill="1" applyBorder="1" applyAlignment="1"/>
    <xf numFmtId="43" fontId="34" fillId="10" borderId="96" xfId="11" applyFont="1" applyFill="1" applyBorder="1" applyAlignment="1"/>
    <xf numFmtId="43" fontId="13" fillId="0" borderId="84" xfId="11" applyFont="1" applyBorder="1" applyAlignment="1"/>
    <xf numFmtId="43" fontId="28" fillId="31" borderId="0" xfId="11" applyFont="1" applyFill="1" applyBorder="1" applyAlignment="1">
      <alignment horizontal="left"/>
    </xf>
    <xf numFmtId="0" fontId="30" fillId="0" borderId="22" xfId="12" applyFont="1" applyBorder="1" applyAlignment="1">
      <alignment horizontal="left"/>
    </xf>
    <xf numFmtId="9" fontId="30" fillId="0" borderId="101" xfId="9" applyFont="1" applyBorder="1" applyAlignment="1">
      <alignment horizontal="center"/>
    </xf>
    <xf numFmtId="0" fontId="32" fillId="0" borderId="84" xfId="12" applyFont="1" applyBorder="1"/>
    <xf numFmtId="43" fontId="13" fillId="0" borderId="84" xfId="9" applyNumberFormat="1" applyFont="1" applyBorder="1" applyAlignment="1">
      <alignment horizontal="center"/>
    </xf>
    <xf numFmtId="43" fontId="13" fillId="0" borderId="84" xfId="11" applyFont="1" applyFill="1" applyBorder="1" applyAlignment="1"/>
    <xf numFmtId="164" fontId="13" fillId="0" borderId="84" xfId="12" applyNumberFormat="1" applyFont="1" applyBorder="1" applyAlignment="1">
      <alignment horizontal="center"/>
    </xf>
    <xf numFmtId="43" fontId="13" fillId="18" borderId="84" xfId="1" applyFont="1" applyFill="1" applyBorder="1" applyAlignment="1"/>
    <xf numFmtId="0" fontId="13" fillId="0" borderId="84" xfId="12" applyFont="1" applyBorder="1" applyAlignment="1">
      <alignment horizontal="center"/>
    </xf>
    <xf numFmtId="9" fontId="13" fillId="0" borderId="87" xfId="9" applyFont="1" applyBorder="1" applyAlignment="1">
      <alignment horizontal="center"/>
    </xf>
    <xf numFmtId="0" fontId="30" fillId="0" borderId="26" xfId="12" applyFont="1" applyBorder="1" applyAlignment="1">
      <alignment horizontal="left"/>
    </xf>
    <xf numFmtId="43" fontId="13" fillId="18" borderId="46" xfId="1" applyFont="1" applyFill="1" applyBorder="1" applyAlignment="1"/>
    <xf numFmtId="9" fontId="13" fillId="0" borderId="88" xfId="9" applyFont="1" applyBorder="1" applyAlignment="1">
      <alignment horizontal="center"/>
    </xf>
    <xf numFmtId="9" fontId="13" fillId="0" borderId="88" xfId="9" applyFont="1" applyFill="1" applyBorder="1" applyAlignment="1">
      <alignment horizontal="center"/>
    </xf>
    <xf numFmtId="43" fontId="13" fillId="0" borderId="88" xfId="12" applyNumberFormat="1" applyFont="1" applyBorder="1" applyAlignment="1">
      <alignment horizontal="center"/>
    </xf>
    <xf numFmtId="0" fontId="30" fillId="0" borderId="30" xfId="12" applyFont="1" applyBorder="1" applyAlignment="1">
      <alignment horizontal="left"/>
    </xf>
    <xf numFmtId="9" fontId="57" fillId="0" borderId="102" xfId="9" applyFont="1" applyBorder="1" applyAlignment="1">
      <alignment horizontal="center"/>
    </xf>
    <xf numFmtId="0" fontId="57" fillId="0" borderId="89" xfId="12" applyFont="1" applyBorder="1"/>
    <xf numFmtId="43" fontId="58" fillId="0" borderId="89" xfId="9" applyNumberFormat="1" applyFont="1" applyFill="1" applyBorder="1" applyAlignment="1">
      <alignment horizontal="center"/>
    </xf>
    <xf numFmtId="43" fontId="58" fillId="0" borderId="89" xfId="11" applyFont="1" applyFill="1" applyBorder="1" applyAlignment="1"/>
    <xf numFmtId="43" fontId="58" fillId="0" borderId="89" xfId="12" applyNumberFormat="1" applyFont="1" applyBorder="1" applyAlignment="1">
      <alignment horizontal="center"/>
    </xf>
    <xf numFmtId="43" fontId="58" fillId="18" borderId="89" xfId="1" applyFont="1" applyFill="1" applyBorder="1" applyAlignment="1"/>
    <xf numFmtId="0" fontId="58" fillId="0" borderId="89" xfId="12" applyFont="1" applyBorder="1" applyAlignment="1">
      <alignment horizontal="center"/>
    </xf>
    <xf numFmtId="43" fontId="58" fillId="0" borderId="90" xfId="12" applyNumberFormat="1" applyFont="1" applyBorder="1" applyAlignment="1">
      <alignment horizontal="center"/>
    </xf>
    <xf numFmtId="0" fontId="30" fillId="0" borderId="103" xfId="12" applyFont="1" applyBorder="1" applyAlignment="1">
      <alignment horizontal="left"/>
    </xf>
    <xf numFmtId="9" fontId="30" fillId="0" borderId="84" xfId="9" applyFont="1" applyBorder="1" applyAlignment="1">
      <alignment horizontal="center"/>
    </xf>
    <xf numFmtId="43" fontId="13" fillId="0" borderId="84" xfId="12" applyNumberFormat="1" applyFont="1" applyBorder="1" applyAlignment="1">
      <alignment horizontal="center"/>
    </xf>
    <xf numFmtId="0" fontId="13" fillId="0" borderId="87" xfId="12" applyFont="1" applyBorder="1" applyAlignment="1">
      <alignment horizontal="center"/>
    </xf>
    <xf numFmtId="0" fontId="30" fillId="0" borderId="104" xfId="12" applyFont="1" applyBorder="1" applyAlignment="1">
      <alignment horizontal="left"/>
    </xf>
    <xf numFmtId="0" fontId="13" fillId="0" borderId="88" xfId="12" applyFont="1" applyBorder="1" applyAlignment="1">
      <alignment horizontal="center"/>
    </xf>
    <xf numFmtId="0" fontId="32" fillId="0" borderId="51" xfId="12" applyFont="1" applyBorder="1"/>
    <xf numFmtId="43" fontId="13" fillId="0" borderId="51" xfId="9" applyNumberFormat="1" applyFont="1" applyBorder="1" applyAlignment="1">
      <alignment horizontal="center"/>
    </xf>
    <xf numFmtId="43" fontId="13" fillId="0" borderId="51" xfId="11" applyFont="1" applyFill="1" applyBorder="1" applyAlignment="1"/>
    <xf numFmtId="43" fontId="13" fillId="0" borderId="51" xfId="12" applyNumberFormat="1" applyFont="1" applyBorder="1" applyAlignment="1">
      <alignment horizontal="center"/>
    </xf>
    <xf numFmtId="43" fontId="13" fillId="18" borderId="51" xfId="1" applyFont="1" applyFill="1" applyBorder="1" applyAlignment="1"/>
    <xf numFmtId="0" fontId="13" fillId="0" borderId="51" xfId="12" applyFont="1" applyBorder="1" applyAlignment="1">
      <alignment horizontal="center"/>
    </xf>
    <xf numFmtId="0" fontId="13" fillId="0" borderId="105" xfId="12" applyFont="1" applyBorder="1" applyAlignment="1">
      <alignment horizontal="center"/>
    </xf>
    <xf numFmtId="43" fontId="22" fillId="10" borderId="33" xfId="11" applyFont="1" applyFill="1" applyBorder="1" applyAlignment="1"/>
    <xf numFmtId="43" fontId="22" fillId="10" borderId="33" xfId="12" applyNumberFormat="1" applyFont="1" applyFill="1" applyBorder="1"/>
    <xf numFmtId="0" fontId="22" fillId="32" borderId="106" xfId="12" applyFont="1" applyFill="1" applyBorder="1" applyAlignment="1">
      <alignment horizontal="center"/>
    </xf>
    <xf numFmtId="9" fontId="22" fillId="32" borderId="83" xfId="9" applyFont="1" applyFill="1" applyBorder="1" applyAlignment="1">
      <alignment horizontal="center"/>
    </xf>
    <xf numFmtId="0" fontId="38" fillId="32" borderId="83" xfId="12" applyFont="1" applyFill="1" applyBorder="1"/>
    <xf numFmtId="43" fontId="22" fillId="32" borderId="83" xfId="9" applyNumberFormat="1" applyFont="1" applyFill="1" applyBorder="1" applyAlignment="1">
      <alignment horizontal="center"/>
    </xf>
    <xf numFmtId="43" fontId="22" fillId="32" borderId="107" xfId="11" applyFont="1" applyFill="1" applyBorder="1" applyAlignment="1"/>
    <xf numFmtId="0" fontId="22" fillId="32" borderId="33" xfId="12" applyFont="1" applyFill="1" applyBorder="1"/>
    <xf numFmtId="0" fontId="22" fillId="32" borderId="33" xfId="12" applyFont="1" applyFill="1" applyBorder="1" applyAlignment="1">
      <alignment horizontal="center"/>
    </xf>
    <xf numFmtId="0" fontId="22" fillId="32" borderId="108" xfId="12" applyFont="1" applyFill="1" applyBorder="1" applyAlignment="1">
      <alignment horizontal="center"/>
    </xf>
    <xf numFmtId="43" fontId="22" fillId="11" borderId="109" xfId="11" applyFont="1" applyFill="1" applyBorder="1" applyAlignment="1"/>
    <xf numFmtId="9" fontId="30" fillId="11" borderId="84" xfId="9" applyFont="1" applyFill="1" applyBorder="1" applyAlignment="1">
      <alignment horizontal="center"/>
    </xf>
    <xf numFmtId="0" fontId="30" fillId="11" borderId="84" xfId="12" applyFont="1" applyFill="1" applyBorder="1"/>
    <xf numFmtId="43" fontId="30" fillId="11" borderId="84" xfId="11" applyFont="1" applyFill="1" applyBorder="1" applyAlignment="1"/>
    <xf numFmtId="43" fontId="30" fillId="11" borderId="87" xfId="11" applyFont="1" applyFill="1" applyBorder="1" applyAlignment="1"/>
    <xf numFmtId="0" fontId="30" fillId="11" borderId="104" xfId="12" applyFont="1" applyFill="1" applyBorder="1" applyAlignment="1">
      <alignment horizontal="left"/>
    </xf>
    <xf numFmtId="43" fontId="30" fillId="11" borderId="46" xfId="11" applyFont="1" applyFill="1" applyBorder="1" applyAlignment="1"/>
    <xf numFmtId="43" fontId="30" fillId="11" borderId="88" xfId="11" applyFont="1" applyFill="1" applyBorder="1" applyAlignment="1"/>
    <xf numFmtId="0" fontId="30" fillId="11" borderId="100" xfId="12" applyFont="1" applyFill="1" applyBorder="1" applyAlignment="1">
      <alignment horizontal="left"/>
    </xf>
    <xf numFmtId="9" fontId="30" fillId="11" borderId="89" xfId="9" applyFont="1" applyFill="1" applyBorder="1" applyAlignment="1">
      <alignment horizontal="center"/>
    </xf>
    <xf numFmtId="0" fontId="30" fillId="11" borderId="89" xfId="12" applyFont="1" applyFill="1" applyBorder="1"/>
    <xf numFmtId="43" fontId="30" fillId="11" borderId="89" xfId="11" applyFont="1" applyFill="1" applyBorder="1" applyAlignment="1"/>
    <xf numFmtId="43" fontId="30" fillId="11" borderId="90" xfId="11" applyFont="1" applyFill="1" applyBorder="1" applyAlignment="1"/>
    <xf numFmtId="9" fontId="30" fillId="11" borderId="44" xfId="9" applyFont="1" applyFill="1" applyBorder="1" applyAlignment="1">
      <alignment horizontal="center"/>
    </xf>
    <xf numFmtId="0" fontId="30" fillId="11" borderId="110" xfId="12" applyFont="1" applyFill="1" applyBorder="1" applyAlignment="1">
      <alignment horizontal="left"/>
    </xf>
    <xf numFmtId="9" fontId="30" fillId="11" borderId="20" xfId="9" applyFont="1" applyFill="1" applyBorder="1" applyAlignment="1">
      <alignment horizontal="center"/>
    </xf>
    <xf numFmtId="0" fontId="30" fillId="11" borderId="20" xfId="12" applyFont="1" applyFill="1" applyBorder="1"/>
    <xf numFmtId="43" fontId="30" fillId="11" borderId="20" xfId="11" applyFont="1" applyFill="1" applyBorder="1" applyAlignment="1"/>
    <xf numFmtId="43" fontId="30" fillId="11" borderId="111" xfId="11" applyFont="1" applyFill="1" applyBorder="1" applyAlignment="1"/>
    <xf numFmtId="0" fontId="30" fillId="11" borderId="22" xfId="12" applyFont="1" applyFill="1" applyBorder="1" applyAlignment="1">
      <alignment horizontal="left"/>
    </xf>
    <xf numFmtId="9" fontId="30" fillId="11" borderId="101" xfId="9" applyFont="1" applyFill="1" applyBorder="1" applyAlignment="1">
      <alignment horizontal="center"/>
    </xf>
    <xf numFmtId="0" fontId="30" fillId="11" borderId="26" xfId="12" applyFont="1" applyFill="1" applyBorder="1" applyAlignment="1">
      <alignment horizontal="left"/>
    </xf>
    <xf numFmtId="0" fontId="30" fillId="11" borderId="30" xfId="12" applyFont="1" applyFill="1" applyBorder="1" applyAlignment="1">
      <alignment horizontal="left"/>
    </xf>
    <xf numFmtId="9" fontId="30" fillId="11" borderId="102" xfId="9" applyFont="1" applyFill="1" applyBorder="1" applyAlignment="1">
      <alignment horizontal="center"/>
    </xf>
    <xf numFmtId="0" fontId="37" fillId="32" borderId="112" xfId="12" applyFont="1" applyFill="1" applyBorder="1"/>
    <xf numFmtId="0" fontId="37" fillId="32" borderId="113" xfId="12" applyFont="1" applyFill="1" applyBorder="1"/>
    <xf numFmtId="0" fontId="37" fillId="32" borderId="114" xfId="12" applyFont="1" applyFill="1" applyBorder="1"/>
    <xf numFmtId="0" fontId="28" fillId="32" borderId="100" xfId="12" applyFont="1" applyFill="1" applyBorder="1" applyAlignment="1">
      <alignment horizontal="center"/>
    </xf>
    <xf numFmtId="0" fontId="28" fillId="32" borderId="89" xfId="12" applyFont="1" applyFill="1" applyBorder="1" applyAlignment="1">
      <alignment horizontal="center"/>
    </xf>
    <xf numFmtId="43" fontId="28" fillId="32" borderId="89" xfId="11" applyFont="1" applyFill="1" applyBorder="1" applyAlignment="1">
      <alignment horizontal="center"/>
    </xf>
    <xf numFmtId="43" fontId="28" fillId="32" borderId="90" xfId="11" applyFont="1" applyFill="1" applyBorder="1" applyAlignment="1">
      <alignment horizontal="center"/>
    </xf>
    <xf numFmtId="0" fontId="67" fillId="11" borderId="0" xfId="3" applyFont="1" applyFill="1" applyBorder="1" applyAlignment="1" applyProtection="1">
      <alignment horizontal="centerContinuous"/>
      <protection locked="0"/>
    </xf>
    <xf numFmtId="43" fontId="67" fillId="11" borderId="0" xfId="1" applyFont="1" applyFill="1" applyBorder="1" applyAlignment="1" applyProtection="1">
      <alignment horizontal="centerContinuous"/>
      <protection locked="0"/>
    </xf>
    <xf numFmtId="0" fontId="67" fillId="11" borderId="0" xfId="1" applyNumberFormat="1" applyFont="1" applyFill="1" applyBorder="1" applyAlignment="1" applyProtection="1">
      <alignment horizontal="center"/>
      <protection locked="0"/>
    </xf>
    <xf numFmtId="0" fontId="69" fillId="0" borderId="0" xfId="0" applyFont="1" applyProtection="1">
      <protection locked="0"/>
    </xf>
    <xf numFmtId="0" fontId="70" fillId="11" borderId="0" xfId="4" applyFont="1" applyFill="1" applyAlignment="1" applyProtection="1">
      <alignment horizontal="centerContinuous" vertical="center"/>
      <protection locked="0"/>
    </xf>
    <xf numFmtId="0" fontId="70" fillId="11" borderId="0" xfId="4" applyNumberFormat="1" applyFont="1" applyFill="1" applyAlignment="1" applyProtection="1">
      <alignment horizontal="centerContinuous" vertical="center"/>
      <protection locked="0"/>
    </xf>
    <xf numFmtId="1" fontId="70" fillId="11" borderId="0" xfId="1" applyNumberFormat="1" applyFont="1" applyFill="1" applyAlignment="1" applyProtection="1">
      <alignment horizontal="centerContinuous" vertical="center"/>
      <protection locked="0"/>
    </xf>
    <xf numFmtId="0" fontId="70" fillId="11" borderId="0" xfId="1" applyNumberFormat="1" applyFont="1" applyFill="1" applyAlignment="1" applyProtection="1">
      <alignment horizontal="centerContinuous" vertical="center"/>
      <protection locked="0"/>
    </xf>
    <xf numFmtId="43" fontId="70" fillId="11" borderId="0" xfId="1" applyFont="1" applyFill="1" applyAlignment="1" applyProtection="1">
      <alignment horizontal="centerContinuous" vertical="center"/>
      <protection locked="0"/>
    </xf>
    <xf numFmtId="1" fontId="68" fillId="11" borderId="0" xfId="1" applyNumberFormat="1" applyFont="1" applyFill="1" applyAlignment="1" applyProtection="1">
      <alignment horizontal="centerContinuous" vertical="center"/>
      <protection locked="0"/>
    </xf>
    <xf numFmtId="0" fontId="70" fillId="11" borderId="0" xfId="1" applyNumberFormat="1" applyFont="1" applyFill="1" applyAlignment="1" applyProtection="1">
      <alignment horizontal="center" vertical="center"/>
      <protection locked="0"/>
    </xf>
    <xf numFmtId="0" fontId="70" fillId="11" borderId="0" xfId="0" applyFont="1" applyFill="1" applyProtection="1">
      <protection locked="0"/>
    </xf>
    <xf numFmtId="0" fontId="70" fillId="11" borderId="0" xfId="0" applyFont="1" applyFill="1" applyAlignment="1" applyProtection="1">
      <alignment horizontal="center"/>
      <protection locked="0"/>
    </xf>
    <xf numFmtId="1" fontId="70" fillId="11" borderId="0" xfId="1" applyNumberFormat="1" applyFont="1" applyFill="1" applyAlignment="1" applyProtection="1">
      <alignment horizontal="center"/>
      <protection locked="0"/>
    </xf>
    <xf numFmtId="0" fontId="70" fillId="11" borderId="0" xfId="1" applyNumberFormat="1" applyFont="1" applyFill="1" applyAlignment="1" applyProtection="1">
      <alignment horizontal="center"/>
      <protection locked="0"/>
    </xf>
    <xf numFmtId="43" fontId="70" fillId="11" borderId="0" xfId="1" applyFont="1" applyFill="1" applyAlignment="1" applyProtection="1">
      <alignment horizontal="center"/>
      <protection locked="0"/>
    </xf>
    <xf numFmtId="1" fontId="68" fillId="11" borderId="0" xfId="1" applyNumberFormat="1" applyFont="1" applyFill="1" applyAlignment="1" applyProtection="1">
      <alignment horizontal="center"/>
      <protection locked="0"/>
    </xf>
    <xf numFmtId="4" fontId="70" fillId="0" borderId="0" xfId="1" applyNumberFormat="1" applyFont="1" applyProtection="1">
      <protection locked="0"/>
    </xf>
    <xf numFmtId="0" fontId="69" fillId="0" borderId="0" xfId="1" applyNumberFormat="1" applyFont="1" applyAlignment="1" applyProtection="1">
      <alignment horizontal="center"/>
      <protection locked="0"/>
    </xf>
    <xf numFmtId="4" fontId="69" fillId="0" borderId="0" xfId="1" applyNumberFormat="1" applyFont="1" applyAlignment="1" applyProtection="1">
      <alignment horizontal="center"/>
      <protection locked="0"/>
    </xf>
    <xf numFmtId="0" fontId="70" fillId="11" borderId="0" xfId="0" applyFont="1" applyFill="1" applyAlignment="1" applyProtection="1">
      <alignment horizontal="left"/>
      <protection locked="0"/>
    </xf>
    <xf numFmtId="43" fontId="69" fillId="11" borderId="0" xfId="1" applyFont="1" applyFill="1" applyAlignment="1" applyProtection="1">
      <alignment horizontal="center"/>
      <protection locked="0"/>
    </xf>
    <xf numFmtId="9" fontId="69" fillId="11" borderId="0" xfId="1" applyNumberFormat="1" applyFont="1" applyFill="1" applyAlignment="1" applyProtection="1">
      <alignment horizontal="center"/>
      <protection locked="0"/>
    </xf>
    <xf numFmtId="9" fontId="70" fillId="11" borderId="0" xfId="1" applyNumberFormat="1" applyFont="1" applyFill="1" applyAlignment="1" applyProtection="1">
      <alignment horizontal="center"/>
      <protection locked="0"/>
    </xf>
    <xf numFmtId="0" fontId="69" fillId="4" borderId="3" xfId="8" applyFont="1" applyBorder="1" applyAlignment="1" applyProtection="1">
      <alignment horizontal="center" vertical="top" wrapText="1"/>
      <protection locked="0"/>
    </xf>
    <xf numFmtId="0" fontId="69" fillId="4" borderId="4" xfId="8" applyFont="1" applyBorder="1" applyAlignment="1" applyProtection="1">
      <alignment horizontal="center" vertical="top" wrapText="1"/>
      <protection locked="0"/>
    </xf>
    <xf numFmtId="0" fontId="69" fillId="4" borderId="24" xfId="8" applyFont="1" applyBorder="1" applyAlignment="1" applyProtection="1">
      <alignment horizontal="center" vertical="top" wrapText="1"/>
      <protection locked="0"/>
    </xf>
    <xf numFmtId="0" fontId="72" fillId="14" borderId="21" xfId="0" applyFont="1" applyFill="1" applyBorder="1" applyAlignment="1">
      <alignment horizontal="center" vertical="top" wrapText="1"/>
    </xf>
    <xf numFmtId="0" fontId="72" fillId="14" borderId="4" xfId="0" applyFont="1" applyFill="1" applyBorder="1" applyAlignment="1">
      <alignment horizontal="center" vertical="top" wrapText="1"/>
    </xf>
    <xf numFmtId="1" fontId="73" fillId="4" borderId="4" xfId="1" applyNumberFormat="1" applyFont="1" applyFill="1" applyBorder="1" applyAlignment="1" applyProtection="1">
      <alignment horizontal="center" vertical="top" wrapText="1"/>
      <protection locked="0"/>
    </xf>
    <xf numFmtId="0" fontId="73" fillId="4" borderId="22" xfId="1" applyNumberFormat="1" applyFont="1" applyFill="1" applyBorder="1" applyAlignment="1" applyProtection="1">
      <alignment horizontal="center" vertical="top" wrapText="1"/>
      <protection locked="0"/>
    </xf>
    <xf numFmtId="43" fontId="73" fillId="4" borderId="23" xfId="1" applyFont="1" applyFill="1" applyBorder="1" applyAlignment="1" applyProtection="1">
      <alignment horizontal="center" vertical="top" wrapText="1"/>
      <protection locked="0"/>
    </xf>
    <xf numFmtId="43" fontId="73" fillId="22" borderId="62" xfId="1" applyFont="1" applyFill="1" applyBorder="1" applyAlignment="1" applyProtection="1">
      <alignment horizontal="center" vertical="top" wrapText="1"/>
      <protection locked="0"/>
    </xf>
    <xf numFmtId="43" fontId="72" fillId="34" borderId="84" xfId="1" applyFont="1" applyFill="1" applyBorder="1" applyAlignment="1" applyProtection="1">
      <alignment horizontal="center" vertical="top" wrapText="1"/>
      <protection locked="0"/>
    </xf>
    <xf numFmtId="4" fontId="74" fillId="12" borderId="4" xfId="8" applyNumberFormat="1" applyFont="1" applyFill="1" applyBorder="1" applyAlignment="1" applyProtection="1">
      <alignment horizontal="center" vertical="center" wrapText="1"/>
      <protection locked="0"/>
    </xf>
    <xf numFmtId="4" fontId="71" fillId="13" borderId="3" xfId="8" applyNumberFormat="1" applyFont="1" applyFill="1" applyBorder="1" applyAlignment="1" applyProtection="1">
      <alignment horizontal="center" vertical="center" wrapText="1"/>
      <protection hidden="1"/>
    </xf>
    <xf numFmtId="0" fontId="73" fillId="4" borderId="4" xfId="8" applyFont="1" applyBorder="1" applyAlignment="1" applyProtection="1">
      <alignment horizontal="center" vertical="center" wrapText="1"/>
      <protection locked="0"/>
    </xf>
    <xf numFmtId="0" fontId="76" fillId="21" borderId="21" xfId="0" applyFont="1" applyFill="1" applyBorder="1" applyAlignment="1">
      <alignment horizontal="center" vertical="center" wrapText="1"/>
    </xf>
    <xf numFmtId="0" fontId="69" fillId="0" borderId="0" xfId="0" applyFont="1" applyAlignment="1" applyProtection="1">
      <alignment horizontal="center" vertical="center" wrapText="1"/>
      <protection locked="0"/>
    </xf>
    <xf numFmtId="43" fontId="74" fillId="33" borderId="66" xfId="1" applyFont="1" applyFill="1" applyBorder="1" applyAlignment="1" applyProtection="1">
      <alignment horizontal="center" vertical="center" shrinkToFit="1"/>
      <protection locked="0"/>
    </xf>
    <xf numFmtId="43" fontId="75" fillId="32" borderId="66" xfId="1" applyFont="1" applyFill="1" applyBorder="1" applyAlignment="1" applyProtection="1">
      <alignment vertical="center" shrinkToFit="1"/>
      <protection locked="0"/>
    </xf>
    <xf numFmtId="43" fontId="74" fillId="25" borderId="66" xfId="1" applyFont="1" applyFill="1" applyBorder="1" applyAlignment="1" applyProtection="1">
      <alignment vertical="center"/>
      <protection locked="0"/>
    </xf>
    <xf numFmtId="43" fontId="70" fillId="24" borderId="65" xfId="1" applyFont="1" applyFill="1" applyBorder="1" applyProtection="1">
      <protection hidden="1"/>
    </xf>
    <xf numFmtId="0" fontId="69" fillId="0" borderId="66" xfId="0" applyFont="1" applyBorder="1" applyAlignment="1" applyProtection="1">
      <alignment horizontal="center"/>
      <protection locked="0"/>
    </xf>
    <xf numFmtId="4" fontId="74" fillId="0" borderId="66" xfId="7" applyNumberFormat="1" applyFont="1" applyFill="1" applyBorder="1" applyAlignment="1" applyProtection="1">
      <alignment horizontal="center"/>
      <protection hidden="1"/>
    </xf>
    <xf numFmtId="0" fontId="78" fillId="0" borderId="68" xfId="6" applyFont="1" applyFill="1" applyBorder="1" applyAlignment="1" applyProtection="1">
      <alignment horizontal="center" vertical="center"/>
      <protection locked="0"/>
    </xf>
    <xf numFmtId="0" fontId="78" fillId="0" borderId="69" xfId="6" applyFont="1" applyFill="1" applyBorder="1" applyAlignment="1" applyProtection="1">
      <alignment horizontal="center" vertical="center"/>
      <protection locked="0"/>
    </xf>
    <xf numFmtId="0" fontId="73" fillId="0" borderId="69" xfId="6" applyFont="1" applyFill="1" applyBorder="1" applyAlignment="1" applyProtection="1">
      <alignment vertical="center" shrinkToFit="1"/>
      <protection locked="0"/>
    </xf>
    <xf numFmtId="43" fontId="74" fillId="0" borderId="69" xfId="1" applyFont="1" applyFill="1" applyBorder="1" applyAlignment="1" applyProtection="1">
      <alignment horizontal="center" vertical="center" shrinkToFit="1"/>
      <protection locked="0"/>
    </xf>
    <xf numFmtId="0" fontId="74" fillId="0" borderId="69" xfId="1" applyNumberFormat="1" applyFont="1" applyFill="1" applyBorder="1" applyAlignment="1" applyProtection="1">
      <alignment horizontal="center" vertical="center" shrinkToFit="1"/>
      <protection locked="0"/>
    </xf>
    <xf numFmtId="0" fontId="74" fillId="0" borderId="77" xfId="1" applyNumberFormat="1" applyFont="1" applyFill="1" applyBorder="1" applyAlignment="1" applyProtection="1">
      <alignment horizontal="center" vertical="center" shrinkToFit="1"/>
      <protection locked="0"/>
    </xf>
    <xf numFmtId="1" fontId="77" fillId="0" borderId="69" xfId="1" applyNumberFormat="1" applyFont="1" applyFill="1" applyBorder="1" applyAlignment="1" applyProtection="1">
      <alignment horizontal="left" vertical="center" shrinkToFit="1"/>
      <protection locked="0"/>
    </xf>
    <xf numFmtId="43" fontId="79" fillId="0" borderId="69" xfId="1" applyFont="1" applyFill="1" applyBorder="1" applyAlignment="1" applyProtection="1">
      <alignment horizontal="center" vertical="center" shrinkToFit="1"/>
      <protection locked="0"/>
    </xf>
    <xf numFmtId="43" fontId="79" fillId="32" borderId="69" xfId="1" applyFont="1" applyFill="1" applyBorder="1" applyAlignment="1" applyProtection="1">
      <alignment vertical="center" shrinkToFit="1"/>
      <protection locked="0"/>
    </xf>
    <xf numFmtId="0" fontId="79" fillId="0" borderId="86" xfId="1" applyNumberFormat="1" applyFont="1" applyFill="1" applyBorder="1" applyAlignment="1" applyProtection="1">
      <alignment horizontal="center" vertical="center" shrinkToFit="1"/>
      <protection locked="0"/>
    </xf>
    <xf numFmtId="43" fontId="75" fillId="24" borderId="68" xfId="1" applyFont="1" applyFill="1" applyBorder="1" applyProtection="1">
      <protection hidden="1"/>
    </xf>
    <xf numFmtId="0" fontId="69" fillId="0" borderId="69" xfId="0" applyFont="1" applyBorder="1" applyAlignment="1" applyProtection="1">
      <alignment horizontal="center"/>
      <protection locked="0"/>
    </xf>
    <xf numFmtId="4" fontId="74" fillId="0" borderId="69" xfId="7" applyNumberFormat="1" applyFont="1" applyFill="1" applyBorder="1" applyAlignment="1" applyProtection="1">
      <alignment horizontal="center"/>
      <protection hidden="1"/>
    </xf>
    <xf numFmtId="0" fontId="79" fillId="0" borderId="69" xfId="6" applyFont="1" applyFill="1" applyBorder="1" applyAlignment="1" applyProtection="1">
      <alignment vertical="center" shrinkToFit="1"/>
      <protection locked="0"/>
    </xf>
    <xf numFmtId="43" fontId="74" fillId="0" borderId="69" xfId="6" applyNumberFormat="1" applyFont="1" applyFill="1" applyBorder="1" applyAlignment="1" applyProtection="1">
      <alignment horizontal="center" vertical="center" shrinkToFit="1"/>
      <protection locked="0"/>
    </xf>
    <xf numFmtId="43" fontId="75" fillId="32" borderId="69" xfId="1" applyFont="1" applyFill="1" applyBorder="1" applyAlignment="1" applyProtection="1">
      <alignment vertical="center" shrinkToFit="1"/>
      <protection locked="0"/>
    </xf>
    <xf numFmtId="0" fontId="74" fillId="0" borderId="86" xfId="1" applyNumberFormat="1" applyFont="1" applyFill="1" applyBorder="1" applyAlignment="1" applyProtection="1">
      <alignment horizontal="center" vertical="center" shrinkToFit="1"/>
      <protection locked="0"/>
    </xf>
    <xf numFmtId="0" fontId="78" fillId="0" borderId="3" xfId="6" applyFont="1" applyFill="1" applyBorder="1" applyAlignment="1" applyProtection="1">
      <alignment horizontal="center" vertical="center"/>
      <protection locked="0"/>
    </xf>
    <xf numFmtId="0" fontId="79" fillId="0" borderId="4" xfId="6" applyFont="1" applyFill="1" applyBorder="1" applyAlignment="1" applyProtection="1">
      <alignment horizontal="left" vertical="center" shrinkToFit="1"/>
      <protection locked="0"/>
    </xf>
    <xf numFmtId="43" fontId="69" fillId="0" borderId="4" xfId="1" applyFont="1" applyFill="1" applyBorder="1" applyAlignment="1" applyProtection="1">
      <alignment horizontal="center" shrinkToFit="1"/>
      <protection locked="0"/>
    </xf>
    <xf numFmtId="0" fontId="74" fillId="0" borderId="4" xfId="1" applyNumberFormat="1" applyFont="1" applyFill="1" applyBorder="1" applyAlignment="1" applyProtection="1">
      <alignment horizontal="center" vertical="center" shrinkToFit="1"/>
      <protection locked="0"/>
    </xf>
    <xf numFmtId="1" fontId="74" fillId="0" borderId="4" xfId="1" applyNumberFormat="1" applyFont="1" applyFill="1" applyBorder="1" applyAlignment="1" applyProtection="1">
      <alignment horizontal="center" vertical="center" shrinkToFit="1"/>
      <protection locked="0"/>
    </xf>
    <xf numFmtId="0" fontId="74" fillId="0" borderId="26" xfId="1" applyNumberFormat="1" applyFont="1" applyFill="1" applyBorder="1" applyAlignment="1" applyProtection="1">
      <alignment horizontal="center" vertical="center" shrinkToFit="1"/>
      <protection locked="0"/>
    </xf>
    <xf numFmtId="43" fontId="74" fillId="0" borderId="4" xfId="1" applyFont="1" applyFill="1" applyBorder="1" applyAlignment="1" applyProtection="1">
      <alignment horizontal="center" vertical="center" shrinkToFit="1"/>
      <protection locked="0"/>
    </xf>
    <xf numFmtId="1" fontId="77" fillId="0" borderId="4" xfId="1" applyNumberFormat="1" applyFont="1" applyFill="1" applyBorder="1" applyAlignment="1" applyProtection="1">
      <alignment horizontal="center" vertical="center" shrinkToFit="1"/>
      <protection locked="0"/>
    </xf>
    <xf numFmtId="43" fontId="75" fillId="32" borderId="4" xfId="1" applyFont="1" applyFill="1" applyBorder="1" applyAlignment="1" applyProtection="1">
      <alignment horizontal="left" vertical="center" shrinkToFit="1"/>
      <protection locked="0"/>
    </xf>
    <xf numFmtId="0" fontId="74" fillId="0" borderId="39" xfId="1" applyNumberFormat="1" applyFont="1" applyFill="1" applyBorder="1" applyAlignment="1" applyProtection="1">
      <alignment horizontal="center" vertical="center" shrinkToFit="1"/>
      <protection locked="0"/>
    </xf>
    <xf numFmtId="43" fontId="75" fillId="24" borderId="3" xfId="1" applyFont="1" applyFill="1" applyBorder="1" applyProtection="1">
      <protection hidden="1"/>
    </xf>
    <xf numFmtId="14" fontId="69" fillId="0" borderId="4" xfId="0" applyNumberFormat="1" applyFont="1" applyBorder="1" applyAlignment="1" applyProtection="1">
      <alignment horizontal="center"/>
      <protection locked="0"/>
    </xf>
    <xf numFmtId="4" fontId="74" fillId="0" borderId="4" xfId="7" applyNumberFormat="1" applyFont="1" applyFill="1" applyBorder="1" applyAlignment="1" applyProtection="1">
      <alignment horizontal="center"/>
      <protection hidden="1"/>
    </xf>
    <xf numFmtId="0" fontId="74" fillId="0" borderId="0" xfId="6" applyFont="1" applyBorder="1" applyAlignment="1" applyProtection="1">
      <alignment vertical="center"/>
      <protection locked="0"/>
    </xf>
    <xf numFmtId="1" fontId="74" fillId="0" borderId="69" xfId="1" applyNumberFormat="1" applyFont="1" applyFill="1" applyBorder="1" applyAlignment="1" applyProtection="1">
      <alignment horizontal="center" vertical="center" shrinkToFit="1"/>
      <protection locked="0"/>
    </xf>
    <xf numFmtId="43" fontId="70" fillId="32" borderId="74" xfId="1" applyFont="1" applyFill="1" applyBorder="1" applyAlignment="1" applyProtection="1">
      <alignment horizontal="center"/>
      <protection locked="0"/>
    </xf>
    <xf numFmtId="43" fontId="70" fillId="10" borderId="33" xfId="1" applyFont="1" applyFill="1" applyBorder="1" applyAlignment="1" applyProtection="1">
      <alignment horizontal="center"/>
      <protection locked="0"/>
    </xf>
    <xf numFmtId="0" fontId="70" fillId="0" borderId="0" xfId="0" applyFont="1" applyProtection="1">
      <protection locked="0"/>
    </xf>
    <xf numFmtId="0" fontId="69" fillId="0" borderId="0" xfId="0" applyFont="1" applyAlignment="1" applyProtection="1">
      <alignment horizontal="center"/>
      <protection locked="0"/>
    </xf>
    <xf numFmtId="1" fontId="69" fillId="0" borderId="0" xfId="1" applyNumberFormat="1" applyFont="1" applyAlignment="1" applyProtection="1">
      <alignment horizontal="center"/>
      <protection locked="0"/>
    </xf>
    <xf numFmtId="43" fontId="69" fillId="0" borderId="0" xfId="1" applyFont="1" applyAlignment="1" applyProtection="1">
      <alignment horizontal="center"/>
      <protection locked="0"/>
    </xf>
    <xf numFmtId="1" fontId="77" fillId="0" borderId="0" xfId="1" applyNumberFormat="1" applyFont="1" applyAlignment="1" applyProtection="1">
      <alignment horizontal="center"/>
      <protection locked="0"/>
    </xf>
    <xf numFmtId="43" fontId="70" fillId="0" borderId="0" xfId="1" applyFont="1" applyProtection="1">
      <protection locked="0"/>
    </xf>
    <xf numFmtId="0" fontId="70" fillId="0" borderId="0" xfId="1" applyNumberFormat="1" applyFont="1" applyAlignment="1" applyProtection="1">
      <alignment horizontal="center"/>
      <protection locked="0"/>
    </xf>
    <xf numFmtId="4" fontId="69" fillId="0" borderId="0" xfId="1" applyNumberFormat="1" applyFont="1" applyProtection="1">
      <protection locked="0"/>
    </xf>
    <xf numFmtId="4" fontId="67" fillId="0" borderId="0" xfId="1" applyNumberFormat="1" applyFont="1" applyProtection="1">
      <protection locked="0"/>
    </xf>
    <xf numFmtId="43" fontId="67" fillId="0" borderId="0" xfId="1" applyFont="1" applyProtection="1">
      <protection locked="0"/>
    </xf>
    <xf numFmtId="4" fontId="67" fillId="0" borderId="0" xfId="1" applyNumberFormat="1" applyFont="1" applyAlignment="1" applyProtection="1">
      <alignment horizontal="center"/>
      <protection locked="0"/>
    </xf>
    <xf numFmtId="0" fontId="69" fillId="0" borderId="0" xfId="0" applyFont="1"/>
    <xf numFmtId="43" fontId="69" fillId="0" borderId="0" xfId="0" applyNumberFormat="1" applyFont="1" applyAlignment="1" applyProtection="1">
      <alignment horizontal="center"/>
      <protection locked="0"/>
    </xf>
    <xf numFmtId="0" fontId="81" fillId="11" borderId="0" xfId="0" applyFont="1" applyFill="1" applyProtection="1">
      <protection locked="0"/>
    </xf>
    <xf numFmtId="43" fontId="64" fillId="11" borderId="0" xfId="1" applyFont="1" applyFill="1" applyBorder="1" applyAlignment="1" applyProtection="1">
      <alignment horizontal="centerContinuous"/>
      <protection locked="0"/>
    </xf>
    <xf numFmtId="43" fontId="64" fillId="11" borderId="0" xfId="1" applyFont="1" applyFill="1" applyAlignment="1" applyProtection="1">
      <alignment horizontal="centerContinuous" vertical="center"/>
      <protection locked="0"/>
    </xf>
    <xf numFmtId="43" fontId="64" fillId="11" borderId="0" xfId="1" applyFont="1" applyFill="1" applyAlignment="1" applyProtection="1">
      <alignment horizontal="center"/>
      <protection locked="0"/>
    </xf>
    <xf numFmtId="43" fontId="74" fillId="0" borderId="69" xfId="1" applyFont="1" applyFill="1" applyBorder="1" applyAlignment="1" applyProtection="1">
      <alignment vertical="center"/>
      <protection locked="0"/>
    </xf>
    <xf numFmtId="43" fontId="74" fillId="0" borderId="4" xfId="1" applyFont="1" applyFill="1" applyBorder="1" applyAlignment="1" applyProtection="1">
      <alignment vertical="center"/>
      <protection locked="0"/>
    </xf>
    <xf numFmtId="1" fontId="73" fillId="26" borderId="23" xfId="1" applyNumberFormat="1" applyFont="1" applyFill="1" applyBorder="1" applyAlignment="1" applyProtection="1">
      <alignment horizontal="center" vertical="top" wrapText="1"/>
      <protection locked="0"/>
    </xf>
    <xf numFmtId="1" fontId="77" fillId="26" borderId="66" xfId="1" quotePrefix="1" applyNumberFormat="1" applyFont="1" applyFill="1" applyBorder="1" applyAlignment="1" applyProtection="1">
      <alignment horizontal="center" vertical="center" shrinkToFit="1"/>
      <protection locked="0"/>
    </xf>
    <xf numFmtId="43" fontId="77" fillId="26" borderId="66" xfId="1" applyFont="1" applyFill="1" applyBorder="1" applyAlignment="1" applyProtection="1">
      <alignment horizontal="center" vertical="center" shrinkToFit="1"/>
      <protection locked="0"/>
    </xf>
    <xf numFmtId="1" fontId="47" fillId="26" borderId="3" xfId="1" applyNumberFormat="1" applyFont="1" applyFill="1" applyBorder="1" applyAlignment="1" applyProtection="1">
      <alignment horizontal="center" vertical="top" wrapText="1"/>
      <protection locked="0"/>
    </xf>
    <xf numFmtId="1" fontId="65" fillId="26" borderId="66" xfId="1" quotePrefix="1" applyNumberFormat="1" applyFont="1" applyFill="1" applyBorder="1" applyAlignment="1" applyProtection="1">
      <alignment horizontal="center" vertical="center" shrinkToFit="1"/>
      <protection locked="0"/>
    </xf>
    <xf numFmtId="43" fontId="65" fillId="26" borderId="65" xfId="1" applyFont="1" applyFill="1" applyBorder="1" applyAlignment="1" applyProtection="1">
      <alignment horizontal="center" vertical="center" shrinkToFit="1"/>
      <protection locked="0"/>
    </xf>
    <xf numFmtId="0" fontId="67" fillId="11" borderId="0" xfId="3" applyFont="1" applyFill="1" applyBorder="1" applyAlignment="1" applyProtection="1">
      <alignment horizontal="center"/>
      <protection locked="0"/>
    </xf>
    <xf numFmtId="0" fontId="70" fillId="11" borderId="0" xfId="4" applyFont="1" applyFill="1" applyAlignment="1" applyProtection="1">
      <alignment horizontal="left" vertical="center"/>
      <protection locked="0"/>
    </xf>
    <xf numFmtId="0" fontId="70" fillId="11" borderId="0" xfId="4" applyFont="1" applyFill="1" applyAlignment="1" applyProtection="1">
      <alignment horizontal="center" vertical="center"/>
      <protection locked="0"/>
    </xf>
    <xf numFmtId="4" fontId="70" fillId="11" borderId="0" xfId="1" applyNumberFormat="1" applyFont="1" applyFill="1" applyAlignment="1" applyProtection="1">
      <alignment horizontal="center"/>
      <protection locked="0"/>
    </xf>
    <xf numFmtId="4" fontId="70" fillId="11" borderId="0" xfId="1" applyNumberFormat="1" applyFont="1" applyFill="1" applyProtection="1">
      <protection locked="0"/>
    </xf>
    <xf numFmtId="0" fontId="69" fillId="11" borderId="0" xfId="1" applyNumberFormat="1" applyFont="1" applyFill="1" applyAlignment="1" applyProtection="1">
      <alignment horizontal="center"/>
      <protection locked="0"/>
    </xf>
    <xf numFmtId="4" fontId="69" fillId="11" borderId="0" xfId="1" applyNumberFormat="1" applyFont="1" applyFill="1" applyAlignment="1" applyProtection="1">
      <alignment horizontal="center"/>
      <protection locked="0"/>
    </xf>
    <xf numFmtId="9" fontId="70" fillId="11" borderId="0" xfId="9" applyFont="1" applyFill="1" applyAlignment="1" applyProtection="1">
      <alignment horizontal="center"/>
      <protection locked="0"/>
    </xf>
    <xf numFmtId="0" fontId="69" fillId="11" borderId="0" xfId="1" applyNumberFormat="1" applyFont="1" applyFill="1" applyProtection="1">
      <protection locked="0"/>
    </xf>
    <xf numFmtId="0" fontId="69" fillId="11" borderId="0" xfId="0" applyFont="1" applyFill="1" applyProtection="1">
      <protection locked="0"/>
    </xf>
    <xf numFmtId="9" fontId="6" fillId="11" borderId="0" xfId="1" applyNumberFormat="1" applyFont="1" applyFill="1" applyAlignment="1" applyProtection="1">
      <alignment horizontal="center"/>
      <protection locked="0"/>
    </xf>
    <xf numFmtId="0" fontId="70" fillId="32" borderId="33" xfId="0" applyFont="1" applyFill="1" applyBorder="1" applyProtection="1">
      <protection locked="0"/>
    </xf>
    <xf numFmtId="0" fontId="70" fillId="32" borderId="33" xfId="0" applyFont="1" applyFill="1" applyBorder="1" applyAlignment="1" applyProtection="1">
      <alignment horizontal="center"/>
      <protection locked="0"/>
    </xf>
    <xf numFmtId="1" fontId="70" fillId="32" borderId="33" xfId="1" applyNumberFormat="1" applyFont="1" applyFill="1" applyBorder="1" applyAlignment="1" applyProtection="1">
      <alignment horizontal="center"/>
      <protection locked="0"/>
    </xf>
    <xf numFmtId="1" fontId="68" fillId="32" borderId="74" xfId="1" applyNumberFormat="1" applyFont="1" applyFill="1" applyBorder="1" applyAlignment="1" applyProtection="1">
      <alignment horizontal="center"/>
      <protection locked="0"/>
    </xf>
    <xf numFmtId="43" fontId="68" fillId="32" borderId="74" xfId="1" applyFont="1" applyFill="1" applyBorder="1" applyAlignment="1" applyProtection="1">
      <alignment horizontal="center"/>
      <protection locked="0"/>
    </xf>
    <xf numFmtId="0" fontId="70" fillId="32" borderId="74" xfId="1" applyNumberFormat="1" applyFont="1" applyFill="1" applyBorder="1" applyAlignment="1" applyProtection="1">
      <alignment horizontal="center"/>
      <protection locked="0"/>
    </xf>
    <xf numFmtId="43" fontId="64" fillId="32" borderId="74" xfId="1" applyFont="1" applyFill="1" applyBorder="1" applyAlignment="1" applyProtection="1">
      <alignment horizontal="center"/>
      <protection locked="0"/>
    </xf>
    <xf numFmtId="43" fontId="75" fillId="32" borderId="76" xfId="1" applyFont="1" applyFill="1" applyBorder="1" applyAlignment="1" applyProtection="1">
      <alignment vertical="center" shrinkToFit="1"/>
      <protection locked="0"/>
    </xf>
    <xf numFmtId="43" fontId="75" fillId="32" borderId="78" xfId="1" applyFont="1" applyFill="1" applyBorder="1" applyAlignment="1" applyProtection="1">
      <alignment vertical="center" shrinkToFit="1"/>
      <protection locked="0"/>
    </xf>
    <xf numFmtId="43" fontId="75" fillId="32" borderId="78" xfId="1" applyFont="1" applyFill="1" applyBorder="1" applyAlignment="1" applyProtection="1">
      <alignment vertical="center"/>
      <protection locked="0"/>
    </xf>
    <xf numFmtId="43" fontId="75" fillId="32" borderId="63" xfId="1" applyFont="1" applyFill="1" applyBorder="1" applyAlignment="1" applyProtection="1">
      <alignment horizontal="left" vertical="center" shrinkToFit="1"/>
      <protection locked="0"/>
    </xf>
    <xf numFmtId="43" fontId="65" fillId="26" borderId="66" xfId="1" applyFont="1" applyFill="1" applyBorder="1" applyAlignment="1" applyProtection="1">
      <alignment horizontal="center" vertical="center" shrinkToFit="1"/>
      <protection locked="0"/>
    </xf>
    <xf numFmtId="0" fontId="74" fillId="0" borderId="65" xfId="6" applyFont="1" applyFill="1" applyBorder="1" applyAlignment="1" applyProtection="1">
      <alignment horizontal="center" vertical="center"/>
      <protection locked="0"/>
    </xf>
    <xf numFmtId="1" fontId="74" fillId="0" borderId="65" xfId="6" quotePrefix="1" applyNumberFormat="1" applyFont="1" applyFill="1" applyBorder="1" applyAlignment="1" applyProtection="1">
      <alignment horizontal="center" vertical="center"/>
      <protection locked="0"/>
    </xf>
    <xf numFmtId="0" fontId="74" fillId="0" borderId="66" xfId="6" applyFont="1" applyFill="1" applyBorder="1" applyAlignment="1" applyProtection="1">
      <alignment horizontal="center" vertical="center" shrinkToFit="1"/>
      <protection locked="0"/>
    </xf>
    <xf numFmtId="1" fontId="74" fillId="0" borderId="66" xfId="1" quotePrefix="1" applyNumberFormat="1" applyFont="1" applyFill="1" applyBorder="1" applyAlignment="1" applyProtection="1">
      <alignment horizontal="center" vertical="center" shrinkToFit="1"/>
      <protection locked="0"/>
    </xf>
    <xf numFmtId="0" fontId="74" fillId="0" borderId="66" xfId="6" applyFont="1" applyFill="1" applyBorder="1" applyAlignment="1" applyProtection="1">
      <alignment vertical="center" shrinkToFit="1"/>
      <protection locked="0"/>
    </xf>
    <xf numFmtId="43" fontId="74" fillId="0" borderId="66" xfId="1" quotePrefix="1" applyFont="1" applyFill="1" applyBorder="1" applyAlignment="1" applyProtection="1">
      <alignment horizontal="center" vertical="center" shrinkToFit="1"/>
      <protection locked="0"/>
    </xf>
    <xf numFmtId="43" fontId="46" fillId="0" borderId="75" xfId="1" applyFont="1" applyFill="1" applyBorder="1" applyAlignment="1" applyProtection="1">
      <alignment horizontal="center" vertical="center" shrinkToFit="1"/>
      <protection locked="0"/>
    </xf>
    <xf numFmtId="17" fontId="74" fillId="0" borderId="75" xfId="1" quotePrefix="1" applyNumberFormat="1" applyFont="1" applyFill="1" applyBorder="1" applyAlignment="1" applyProtection="1">
      <alignment horizontal="center" vertical="center" shrinkToFit="1"/>
      <protection locked="0"/>
    </xf>
    <xf numFmtId="43" fontId="54" fillId="0" borderId="64" xfId="1" applyFont="1" applyFill="1" applyBorder="1" applyAlignment="1" applyProtection="1">
      <alignment vertical="center" shrinkToFit="1"/>
      <protection locked="0"/>
    </xf>
    <xf numFmtId="43" fontId="47" fillId="23" borderId="26" xfId="1" applyFont="1" applyFill="1" applyBorder="1" applyAlignment="1" applyProtection="1">
      <alignment horizontal="center" vertical="top" wrapText="1"/>
      <protection locked="0"/>
    </xf>
    <xf numFmtId="43" fontId="47" fillId="23" borderId="4" xfId="1" applyFont="1" applyFill="1" applyBorder="1" applyAlignment="1" applyProtection="1">
      <alignment horizontal="center" vertical="top" wrapText="1"/>
      <protection locked="0"/>
    </xf>
    <xf numFmtId="43" fontId="66" fillId="23" borderId="46" xfId="1" applyFont="1" applyFill="1" applyBorder="1" applyAlignment="1" applyProtection="1">
      <alignment horizontal="center" vertical="top" wrapText="1"/>
      <protection locked="0"/>
    </xf>
    <xf numFmtId="9" fontId="62" fillId="11" borderId="0" xfId="9" applyFont="1" applyFill="1" applyAlignment="1" applyProtection="1">
      <alignment horizontal="center"/>
      <protection locked="0"/>
    </xf>
    <xf numFmtId="43" fontId="70" fillId="32" borderId="33" xfId="1" applyFont="1" applyFill="1" applyBorder="1" applyAlignment="1" applyProtection="1">
      <alignment horizontal="center"/>
      <protection locked="0"/>
    </xf>
    <xf numFmtId="9" fontId="13" fillId="11" borderId="0" xfId="9" applyFont="1" applyFill="1" applyBorder="1" applyAlignment="1">
      <alignment horizontal="center"/>
    </xf>
    <xf numFmtId="43" fontId="13" fillId="11" borderId="0" xfId="12" applyNumberFormat="1" applyFont="1" applyFill="1" applyAlignment="1">
      <alignment horizontal="center"/>
    </xf>
    <xf numFmtId="0" fontId="13" fillId="11" borderId="0" xfId="12" applyFont="1" applyFill="1" applyAlignment="1">
      <alignment horizontal="center"/>
    </xf>
    <xf numFmtId="0" fontId="22" fillId="11" borderId="0" xfId="12" applyFont="1" applyFill="1" applyAlignment="1">
      <alignment horizontal="center"/>
    </xf>
    <xf numFmtId="1" fontId="70" fillId="11" borderId="0" xfId="1" applyNumberFormat="1" applyFont="1" applyFill="1" applyBorder="1" applyAlignment="1" applyProtection="1">
      <alignment horizontal="center"/>
      <protection locked="0"/>
    </xf>
    <xf numFmtId="43" fontId="70" fillId="11" borderId="0" xfId="1" applyFont="1" applyFill="1" applyBorder="1" applyAlignment="1" applyProtection="1">
      <alignment horizontal="center"/>
      <protection locked="0"/>
    </xf>
    <xf numFmtId="1" fontId="68" fillId="11" borderId="0" xfId="1" applyNumberFormat="1" applyFont="1" applyFill="1" applyBorder="1" applyAlignment="1" applyProtection="1">
      <alignment horizontal="center"/>
      <protection locked="0"/>
    </xf>
    <xf numFmtId="43" fontId="68" fillId="11" borderId="0" xfId="1" applyFont="1" applyFill="1" applyBorder="1" applyAlignment="1" applyProtection="1">
      <alignment horizontal="center"/>
      <protection locked="0"/>
    </xf>
    <xf numFmtId="0" fontId="70" fillId="11" borderId="0" xfId="1" applyNumberFormat="1" applyFont="1" applyFill="1" applyBorder="1" applyAlignment="1" applyProtection="1">
      <alignment horizontal="center"/>
      <protection locked="0"/>
    </xf>
    <xf numFmtId="43" fontId="6" fillId="11" borderId="0" xfId="1" applyFont="1" applyFill="1" applyBorder="1" applyAlignment="1" applyProtection="1">
      <alignment horizontal="center"/>
      <protection locked="0"/>
    </xf>
    <xf numFmtId="43" fontId="64" fillId="11" borderId="0" xfId="1" applyFont="1" applyFill="1" applyBorder="1" applyAlignment="1" applyProtection="1">
      <alignment horizontal="center"/>
      <protection locked="0"/>
    </xf>
    <xf numFmtId="0" fontId="83" fillId="0" borderId="0" xfId="0" applyFont="1" applyProtection="1">
      <protection locked="0"/>
    </xf>
    <xf numFmtId="0" fontId="84" fillId="0" borderId="0" xfId="0" applyFont="1" applyAlignment="1" applyProtection="1">
      <alignment horizontal="center"/>
      <protection locked="0"/>
    </xf>
    <xf numFmtId="0" fontId="84" fillId="0" borderId="0" xfId="0" applyFont="1" applyProtection="1">
      <protection locked="0"/>
    </xf>
    <xf numFmtId="43" fontId="84" fillId="0" borderId="0" xfId="0" applyNumberFormat="1" applyFont="1" applyProtection="1">
      <protection locked="0"/>
    </xf>
    <xf numFmtId="43" fontId="84" fillId="0" borderId="0" xfId="0" applyNumberFormat="1" applyFont="1" applyAlignment="1" applyProtection="1">
      <alignment horizontal="center"/>
      <protection locked="0"/>
    </xf>
    <xf numFmtId="43" fontId="85" fillId="0" borderId="0" xfId="1" applyFont="1" applyProtection="1">
      <protection locked="0"/>
    </xf>
    <xf numFmtId="0" fontId="69" fillId="0" borderId="0" xfId="0" applyFont="1" applyAlignment="1" applyProtection="1">
      <alignment vertical="center"/>
      <protection locked="0"/>
    </xf>
    <xf numFmtId="0" fontId="84" fillId="0" borderId="0" xfId="0" applyFont="1" applyAlignment="1" applyProtection="1">
      <alignment vertical="center"/>
      <protection locked="0"/>
    </xf>
    <xf numFmtId="43" fontId="84" fillId="0" borderId="0" xfId="1" applyFont="1" applyAlignment="1" applyProtection="1">
      <alignment vertical="center"/>
      <protection locked="0"/>
    </xf>
    <xf numFmtId="43" fontId="69" fillId="0" borderId="0" xfId="1" applyFont="1" applyAlignment="1" applyProtection="1">
      <alignment horizontal="center" vertical="center"/>
      <protection locked="0"/>
    </xf>
    <xf numFmtId="0" fontId="69" fillId="0" borderId="0" xfId="1" applyNumberFormat="1" applyFont="1" applyAlignment="1" applyProtection="1">
      <alignment horizontal="center" vertical="center"/>
      <protection locked="0"/>
    </xf>
    <xf numFmtId="1" fontId="69" fillId="0" borderId="0" xfId="1" applyNumberFormat="1" applyFont="1" applyAlignment="1" applyProtection="1">
      <alignment horizontal="center" vertical="center"/>
      <protection locked="0"/>
    </xf>
    <xf numFmtId="1" fontId="77" fillId="0" borderId="0" xfId="1" applyNumberFormat="1" applyFont="1" applyAlignment="1" applyProtection="1">
      <alignment horizontal="center" vertical="center"/>
      <protection locked="0"/>
    </xf>
    <xf numFmtId="43" fontId="70" fillId="0" borderId="0" xfId="1" applyFont="1" applyAlignment="1" applyProtection="1">
      <alignment vertical="center"/>
      <protection locked="0"/>
    </xf>
    <xf numFmtId="0" fontId="70" fillId="0" borderId="0" xfId="1" applyNumberFormat="1" applyFont="1" applyAlignment="1" applyProtection="1">
      <alignment horizontal="center" vertical="center"/>
      <protection locked="0"/>
    </xf>
    <xf numFmtId="43" fontId="45" fillId="0" borderId="0" xfId="1" applyFont="1" applyAlignment="1" applyProtection="1">
      <alignment horizontal="center" vertical="center"/>
      <protection locked="0"/>
    </xf>
    <xf numFmtId="43" fontId="65" fillId="0" borderId="0" xfId="1" applyFont="1" applyAlignment="1" applyProtection="1">
      <alignment horizontal="center" vertical="center"/>
      <protection locked="0"/>
    </xf>
    <xf numFmtId="4" fontId="69" fillId="0" borderId="0" xfId="1" applyNumberFormat="1" applyFont="1" applyAlignment="1" applyProtection="1">
      <alignment vertical="center"/>
      <protection locked="0"/>
    </xf>
    <xf numFmtId="43" fontId="62" fillId="0" borderId="0" xfId="1" applyFont="1" applyAlignment="1" applyProtection="1">
      <alignment vertical="center"/>
      <protection locked="0"/>
    </xf>
    <xf numFmtId="43" fontId="64" fillId="0" borderId="0" xfId="1" applyFont="1" applyAlignment="1" applyProtection="1">
      <alignment vertical="center"/>
      <protection locked="0"/>
    </xf>
    <xf numFmtId="43" fontId="45" fillId="0" borderId="0" xfId="1" applyFont="1" applyAlignment="1" applyProtection="1">
      <alignment vertical="center"/>
      <protection locked="0"/>
    </xf>
    <xf numFmtId="43" fontId="6" fillId="0" borderId="0" xfId="1" applyFont="1" applyAlignment="1" applyProtection="1">
      <alignment vertical="center"/>
      <protection locked="0"/>
    </xf>
    <xf numFmtId="4" fontId="70" fillId="0" borderId="0" xfId="1" applyNumberFormat="1" applyFont="1" applyAlignment="1" applyProtection="1">
      <alignment vertical="center"/>
      <protection locked="0"/>
    </xf>
    <xf numFmtId="4" fontId="69" fillId="0" borderId="0" xfId="1" applyNumberFormat="1" applyFont="1" applyAlignment="1" applyProtection="1">
      <alignment horizontal="center" vertical="center"/>
      <protection locked="0"/>
    </xf>
    <xf numFmtId="0" fontId="69" fillId="0" borderId="0" xfId="0" applyFont="1" applyAlignment="1">
      <alignment vertical="center"/>
    </xf>
    <xf numFmtId="43" fontId="45" fillId="33" borderId="66" xfId="1" applyFont="1" applyFill="1" applyBorder="1" applyAlignment="1" applyProtection="1">
      <alignment horizontal="center" vertical="center" shrinkToFit="1"/>
      <protection locked="0"/>
    </xf>
    <xf numFmtId="9" fontId="4" fillId="0" borderId="69" xfId="9" applyFont="1" applyFill="1" applyBorder="1" applyAlignment="1">
      <alignment horizontal="right"/>
    </xf>
    <xf numFmtId="43" fontId="45" fillId="0" borderId="4" xfId="1" applyFont="1" applyFill="1" applyBorder="1" applyAlignment="1" applyProtection="1">
      <alignment horizontal="center" vertical="center" shrinkToFit="1"/>
      <protection locked="0"/>
    </xf>
    <xf numFmtId="0" fontId="72" fillId="11" borderId="0" xfId="1" applyNumberFormat="1" applyFont="1" applyFill="1" applyAlignment="1" applyProtection="1">
      <alignment horizontal="centerContinuous" vertical="center"/>
      <protection locked="0"/>
    </xf>
    <xf numFmtId="0" fontId="72" fillId="11" borderId="0" xfId="1" applyNumberFormat="1" applyFont="1" applyFill="1" applyAlignment="1" applyProtection="1">
      <alignment horizontal="center"/>
      <protection locked="0"/>
    </xf>
    <xf numFmtId="0" fontId="72" fillId="0" borderId="73" xfId="1" applyNumberFormat="1" applyFont="1" applyFill="1" applyBorder="1" applyAlignment="1" applyProtection="1">
      <alignment horizontal="center" vertical="center" shrinkToFit="1"/>
      <protection locked="0"/>
    </xf>
    <xf numFmtId="0" fontId="72" fillId="0" borderId="71" xfId="1" applyNumberFormat="1" applyFont="1" applyFill="1" applyBorder="1" applyAlignment="1" applyProtection="1">
      <alignment horizontal="center" vertical="center" shrinkToFit="1"/>
      <protection locked="0"/>
    </xf>
    <xf numFmtId="1" fontId="72" fillId="32" borderId="33" xfId="1" applyNumberFormat="1" applyFont="1" applyFill="1" applyBorder="1" applyAlignment="1" applyProtection="1">
      <alignment horizontal="center"/>
      <protection locked="0"/>
    </xf>
    <xf numFmtId="1" fontId="72" fillId="11" borderId="0" xfId="1" applyNumberFormat="1" applyFont="1" applyFill="1" applyBorder="1" applyAlignment="1" applyProtection="1">
      <alignment horizontal="center"/>
      <protection locked="0"/>
    </xf>
    <xf numFmtId="0" fontId="72" fillId="0" borderId="0" xfId="1" applyNumberFormat="1" applyFont="1" applyAlignment="1" applyProtection="1">
      <alignment horizontal="center"/>
      <protection locked="0"/>
    </xf>
    <xf numFmtId="0" fontId="72" fillId="0" borderId="0" xfId="1" applyNumberFormat="1" applyFont="1" applyAlignment="1" applyProtection="1">
      <alignment horizontal="center" vertical="center"/>
      <protection locked="0"/>
    </xf>
    <xf numFmtId="0" fontId="86" fillId="0" borderId="69" xfId="6" applyFont="1" applyFill="1" applyBorder="1" applyAlignment="1" applyProtection="1">
      <alignment vertical="center" shrinkToFit="1"/>
      <protection locked="0"/>
    </xf>
    <xf numFmtId="43" fontId="45" fillId="0" borderId="75" xfId="1" applyFont="1" applyFill="1" applyBorder="1" applyAlignment="1" applyProtection="1">
      <alignment horizontal="center" vertical="center" shrinkToFit="1"/>
      <protection locked="0"/>
    </xf>
    <xf numFmtId="1" fontId="45" fillId="26" borderId="66" xfId="1" quotePrefix="1" applyNumberFormat="1" applyFont="1" applyFill="1" applyBorder="1" applyAlignment="1" applyProtection="1">
      <alignment horizontal="center" vertical="center" shrinkToFit="1"/>
      <protection locked="0"/>
    </xf>
    <xf numFmtId="43" fontId="45" fillId="26" borderId="65" xfId="1" applyFont="1" applyFill="1" applyBorder="1" applyAlignment="1" applyProtection="1">
      <alignment horizontal="center" vertical="center" shrinkToFit="1"/>
      <protection locked="0"/>
    </xf>
    <xf numFmtId="43" fontId="45" fillId="33" borderId="65" xfId="1" applyFont="1" applyFill="1" applyBorder="1" applyAlignment="1" applyProtection="1">
      <alignment horizontal="center" vertical="center" shrinkToFit="1"/>
      <protection locked="0"/>
    </xf>
    <xf numFmtId="43" fontId="45" fillId="0" borderId="66" xfId="1" applyFont="1" applyFill="1" applyBorder="1" applyAlignment="1" applyProtection="1">
      <alignment horizontal="center" vertical="center" shrinkToFit="1"/>
      <protection locked="0"/>
    </xf>
    <xf numFmtId="43" fontId="69" fillId="25" borderId="66" xfId="1" applyFont="1" applyFill="1" applyBorder="1" applyAlignment="1" applyProtection="1">
      <alignment vertical="center"/>
      <protection locked="0"/>
    </xf>
    <xf numFmtId="43" fontId="45" fillId="0" borderId="3" xfId="1" applyFont="1" applyFill="1" applyBorder="1" applyAlignment="1" applyProtection="1">
      <alignment horizontal="center" vertical="center" shrinkToFit="1"/>
      <protection locked="0"/>
    </xf>
    <xf numFmtId="0" fontId="87" fillId="0" borderId="69" xfId="6" applyFont="1" applyFill="1" applyBorder="1" applyAlignment="1" applyProtection="1">
      <alignment vertical="center" shrinkToFit="1"/>
      <protection locked="0"/>
    </xf>
    <xf numFmtId="0" fontId="87" fillId="0" borderId="4" xfId="6" applyFont="1" applyFill="1" applyBorder="1" applyAlignment="1" applyProtection="1">
      <alignment horizontal="left" vertical="center" shrinkToFit="1"/>
      <protection locked="0"/>
    </xf>
    <xf numFmtId="0" fontId="87" fillId="0" borderId="69" xfId="6" applyFont="1" applyFill="1" applyBorder="1" applyAlignment="1" applyProtection="1">
      <alignment vertical="top" wrapText="1" shrinkToFit="1"/>
      <protection locked="0"/>
    </xf>
    <xf numFmtId="0" fontId="88" fillId="0" borderId="69" xfId="1" applyNumberFormat="1" applyFont="1" applyFill="1" applyBorder="1" applyAlignment="1" applyProtection="1">
      <alignment horizontal="center" vertical="center" shrinkToFit="1"/>
      <protection locked="0"/>
    </xf>
    <xf numFmtId="164" fontId="89" fillId="11" borderId="0" xfId="10" applyNumberFormat="1" applyFont="1" applyFill="1" applyAlignment="1"/>
    <xf numFmtId="43" fontId="30" fillId="18" borderId="46" xfId="11" applyFont="1" applyFill="1" applyBorder="1" applyAlignment="1">
      <alignment horizontal="left"/>
    </xf>
    <xf numFmtId="43" fontId="28" fillId="11" borderId="17" xfId="11" applyFont="1" applyFill="1" applyBorder="1" applyAlignment="1">
      <alignment horizontal="center" vertical="center" wrapText="1"/>
    </xf>
    <xf numFmtId="9" fontId="28" fillId="11" borderId="17" xfId="11" applyNumberFormat="1" applyFont="1" applyFill="1" applyBorder="1" applyAlignment="1">
      <alignment horizontal="center" vertical="center" wrapText="1"/>
    </xf>
    <xf numFmtId="43" fontId="28" fillId="11" borderId="0" xfId="11" applyFont="1" applyFill="1" applyBorder="1" applyAlignment="1"/>
    <xf numFmtId="0" fontId="80" fillId="0" borderId="0" xfId="0" applyFont="1" applyProtection="1">
      <protection locked="0"/>
    </xf>
    <xf numFmtId="0" fontId="73" fillId="5" borderId="4" xfId="8" applyFont="1" applyFill="1" applyBorder="1" applyAlignment="1" applyProtection="1">
      <alignment horizontal="center" vertical="center" wrapText="1"/>
      <protection locked="0"/>
    </xf>
    <xf numFmtId="0" fontId="79" fillId="0" borderId="67" xfId="1" applyNumberFormat="1" applyFont="1" applyFill="1" applyBorder="1" applyAlignment="1" applyProtection="1">
      <alignment horizontal="center" vertical="center" shrinkToFit="1"/>
      <protection locked="0"/>
    </xf>
    <xf numFmtId="0" fontId="74" fillId="0" borderId="67" xfId="1" applyNumberFormat="1" applyFont="1" applyFill="1" applyBorder="1" applyAlignment="1" applyProtection="1">
      <alignment horizontal="center" vertical="center" shrinkToFit="1"/>
      <protection locked="0"/>
    </xf>
    <xf numFmtId="0" fontId="8" fillId="10" borderId="0" xfId="10" applyFont="1" applyFill="1" applyBorder="1" applyAlignment="1"/>
    <xf numFmtId="43" fontId="90" fillId="11" borderId="0" xfId="11" applyFont="1" applyFill="1" applyBorder="1" applyAlignment="1"/>
    <xf numFmtId="0" fontId="79" fillId="0" borderId="117" xfId="1" applyNumberFormat="1" applyFont="1" applyFill="1" applyBorder="1" applyAlignment="1" applyProtection="1">
      <alignment horizontal="center" vertical="center" shrinkToFit="1"/>
      <protection locked="0"/>
    </xf>
    <xf numFmtId="0" fontId="74" fillId="0" borderId="117" xfId="1" applyNumberFormat="1" applyFont="1" applyFill="1" applyBorder="1" applyAlignment="1" applyProtection="1">
      <alignment horizontal="center" vertical="center" shrinkToFit="1"/>
      <protection locked="0"/>
    </xf>
    <xf numFmtId="0" fontId="79" fillId="0" borderId="121" xfId="1" applyNumberFormat="1" applyFont="1" applyFill="1" applyBorder="1" applyAlignment="1" applyProtection="1">
      <alignment horizontal="center" vertical="center" shrinkToFit="1"/>
      <protection locked="0"/>
    </xf>
    <xf numFmtId="0" fontId="74" fillId="0" borderId="121" xfId="1" applyNumberFormat="1" applyFont="1" applyFill="1" applyBorder="1" applyAlignment="1" applyProtection="1">
      <alignment horizontal="center" vertical="center" shrinkToFit="1"/>
      <protection locked="0"/>
    </xf>
    <xf numFmtId="0" fontId="74" fillId="0" borderId="118" xfId="1" applyNumberFormat="1" applyFont="1" applyFill="1" applyBorder="1" applyAlignment="1" applyProtection="1">
      <alignment horizontal="center" vertical="center" shrinkToFit="1"/>
      <protection locked="0"/>
    </xf>
    <xf numFmtId="0" fontId="79" fillId="0" borderId="123" xfId="1" applyNumberFormat="1" applyFont="1" applyFill="1" applyBorder="1" applyAlignment="1" applyProtection="1">
      <alignment horizontal="center" vertical="center" shrinkToFit="1"/>
      <protection locked="0"/>
    </xf>
    <xf numFmtId="0" fontId="74" fillId="0" borderId="123" xfId="1" applyNumberFormat="1" applyFont="1" applyFill="1" applyBorder="1" applyAlignment="1" applyProtection="1">
      <alignment horizontal="center" vertical="center" shrinkToFit="1"/>
      <protection locked="0"/>
    </xf>
    <xf numFmtId="0" fontId="74" fillId="0" borderId="124" xfId="1" applyNumberFormat="1" applyFont="1" applyFill="1" applyBorder="1" applyAlignment="1" applyProtection="1">
      <alignment horizontal="center" vertical="center" shrinkToFit="1"/>
      <protection locked="0"/>
    </xf>
    <xf numFmtId="0" fontId="74" fillId="0" borderId="119" xfId="1" applyNumberFormat="1" applyFont="1" applyFill="1" applyBorder="1" applyAlignment="1" applyProtection="1">
      <alignment horizontal="center" vertical="center" shrinkToFit="1"/>
      <protection locked="0"/>
    </xf>
    <xf numFmtId="0" fontId="74" fillId="0" borderId="126" xfId="1" applyNumberFormat="1" applyFont="1" applyFill="1" applyBorder="1" applyAlignment="1" applyProtection="1">
      <alignment horizontal="center" vertical="center" shrinkToFit="1"/>
      <protection locked="0"/>
    </xf>
    <xf numFmtId="0" fontId="59" fillId="11" borderId="0" xfId="12" applyFont="1" applyFill="1"/>
    <xf numFmtId="43" fontId="82" fillId="37" borderId="59" xfId="1" applyFont="1" applyFill="1" applyBorder="1" applyAlignment="1" applyProtection="1">
      <alignment horizontal="center" vertical="center"/>
      <protection locked="0"/>
    </xf>
    <xf numFmtId="43" fontId="82" fillId="37" borderId="61" xfId="1" applyFont="1" applyFill="1" applyBorder="1" applyAlignment="1" applyProtection="1">
      <alignment horizontal="center" vertical="center"/>
      <protection locked="0"/>
    </xf>
    <xf numFmtId="43" fontId="82" fillId="37" borderId="60" xfId="1" applyFont="1" applyFill="1" applyBorder="1" applyAlignment="1" applyProtection="1">
      <alignment horizontal="center" vertical="center"/>
      <protection locked="0"/>
    </xf>
    <xf numFmtId="43" fontId="82" fillId="36" borderId="59" xfId="1" applyFont="1" applyFill="1" applyBorder="1" applyAlignment="1" applyProtection="1">
      <alignment horizontal="center" vertical="center"/>
      <protection locked="0"/>
    </xf>
    <xf numFmtId="43" fontId="82" fillId="36" borderId="61" xfId="1" applyFont="1" applyFill="1" applyBorder="1" applyAlignment="1" applyProtection="1">
      <alignment horizontal="center" vertical="center"/>
      <protection locked="0"/>
    </xf>
    <xf numFmtId="43" fontId="82" fillId="36" borderId="60" xfId="1" applyFont="1" applyFill="1" applyBorder="1" applyAlignment="1" applyProtection="1">
      <alignment horizontal="center" vertical="center"/>
      <protection locked="0"/>
    </xf>
    <xf numFmtId="0" fontId="67" fillId="11" borderId="0" xfId="3" applyFont="1" applyFill="1" applyBorder="1" applyAlignment="1" applyProtection="1">
      <alignment horizontal="left"/>
      <protection locked="0"/>
    </xf>
    <xf numFmtId="43" fontId="90" fillId="11" borderId="0" xfId="11" applyFont="1" applyFill="1" applyBorder="1" applyAlignment="1">
      <alignment horizontal="left" vertical="center" wrapText="1"/>
    </xf>
    <xf numFmtId="43" fontId="28" fillId="11" borderId="0" xfId="11" applyFont="1" applyFill="1" applyBorder="1" applyAlignment="1">
      <alignment horizontal="left" vertical="center" wrapText="1"/>
    </xf>
    <xf numFmtId="0" fontId="8" fillId="19" borderId="46" xfId="12" applyFont="1" applyFill="1" applyBorder="1" applyAlignment="1">
      <alignment horizontal="center" vertical="center"/>
    </xf>
    <xf numFmtId="0" fontId="8" fillId="0" borderId="0" xfId="10" applyFont="1" applyAlignment="1">
      <alignment horizontal="left"/>
    </xf>
    <xf numFmtId="0" fontId="48" fillId="0" borderId="0" xfId="10" applyFont="1" applyAlignment="1">
      <alignment horizontal="left"/>
    </xf>
    <xf numFmtId="0" fontId="22" fillId="0" borderId="35" xfId="10" applyFont="1" applyBorder="1" applyAlignment="1">
      <alignment horizontal="center" vertical="top" wrapText="1"/>
    </xf>
    <xf numFmtId="0" fontId="22" fillId="0" borderId="4" xfId="10" applyFont="1" applyBorder="1" applyAlignment="1">
      <alignment horizontal="center" vertical="top" wrapText="1"/>
    </xf>
    <xf numFmtId="0" fontId="22" fillId="0" borderId="20" xfId="10" applyFont="1" applyBorder="1" applyAlignment="1">
      <alignment horizontal="center" vertical="top" wrapText="1"/>
    </xf>
    <xf numFmtId="0" fontId="22" fillId="5" borderId="5" xfId="10" applyFont="1" applyFill="1" applyBorder="1" applyAlignment="1">
      <alignment horizontal="center" vertical="top"/>
    </xf>
    <xf numFmtId="0" fontId="22" fillId="5" borderId="4" xfId="10" applyFont="1" applyFill="1" applyBorder="1" applyAlignment="1">
      <alignment horizontal="center" vertical="top"/>
    </xf>
    <xf numFmtId="0" fontId="22" fillId="5" borderId="13" xfId="10" applyFont="1" applyFill="1" applyBorder="1" applyAlignment="1">
      <alignment horizontal="center" vertical="top" wrapText="1"/>
    </xf>
    <xf numFmtId="0" fontId="22" fillId="5" borderId="34" xfId="10" applyFont="1" applyFill="1" applyBorder="1" applyAlignment="1">
      <alignment horizontal="center" vertical="top" wrapText="1"/>
    </xf>
    <xf numFmtId="0" fontId="22" fillId="5" borderId="36" xfId="10" applyFont="1" applyFill="1" applyBorder="1" applyAlignment="1">
      <alignment horizontal="center" vertical="top" wrapText="1"/>
    </xf>
    <xf numFmtId="0" fontId="22" fillId="5" borderId="46" xfId="10" applyFont="1" applyFill="1" applyBorder="1" applyAlignment="1">
      <alignment horizontal="center" vertical="top" wrapText="1"/>
    </xf>
    <xf numFmtId="0" fontId="13" fillId="5" borderId="5" xfId="10" applyFont="1" applyFill="1" applyBorder="1" applyAlignment="1">
      <alignment horizontal="center" vertical="top" wrapText="1"/>
    </xf>
    <xf numFmtId="0" fontId="13" fillId="5" borderId="4" xfId="10" applyFont="1" applyFill="1" applyBorder="1" applyAlignment="1">
      <alignment horizontal="center" vertical="top"/>
    </xf>
    <xf numFmtId="0" fontId="13" fillId="5" borderId="20" xfId="10" applyFont="1" applyFill="1" applyBorder="1" applyAlignment="1">
      <alignment horizontal="center" vertical="top"/>
    </xf>
    <xf numFmtId="41" fontId="13" fillId="5" borderId="5" xfId="10" applyNumberFormat="1" applyFont="1" applyFill="1" applyBorder="1" applyAlignment="1">
      <alignment horizontal="center" vertical="top" wrapText="1"/>
    </xf>
    <xf numFmtId="41" fontId="13" fillId="5" borderId="4" xfId="10" applyNumberFormat="1" applyFont="1" applyFill="1" applyBorder="1" applyAlignment="1">
      <alignment horizontal="center" vertical="top"/>
    </xf>
    <xf numFmtId="41" fontId="13" fillId="5" borderId="20" xfId="10" applyNumberFormat="1" applyFont="1" applyFill="1" applyBorder="1" applyAlignment="1">
      <alignment horizontal="center" vertical="top"/>
    </xf>
    <xf numFmtId="0" fontId="13" fillId="5" borderId="4" xfId="10" applyFont="1" applyFill="1" applyBorder="1" applyAlignment="1">
      <alignment horizontal="center" vertical="top" wrapText="1"/>
    </xf>
    <xf numFmtId="0" fontId="13" fillId="5" borderId="20" xfId="10" applyFont="1" applyFill="1" applyBorder="1" applyAlignment="1">
      <alignment horizontal="center" vertical="top" wrapText="1"/>
    </xf>
    <xf numFmtId="164" fontId="28" fillId="30" borderId="0" xfId="10" applyNumberFormat="1" applyFont="1" applyFill="1" applyAlignment="1"/>
    <xf numFmtId="0" fontId="28" fillId="27" borderId="62" xfId="10" applyFont="1" applyFill="1" applyBorder="1" applyAlignment="1">
      <alignment horizontal="center" vertical="center"/>
    </xf>
    <xf numFmtId="0" fontId="91" fillId="11" borderId="0" xfId="12" applyFont="1" applyFill="1"/>
    <xf numFmtId="0" fontId="92" fillId="28" borderId="81" xfId="12" applyFont="1" applyFill="1" applyBorder="1" applyAlignment="1">
      <alignment horizontal="left" vertical="center"/>
    </xf>
    <xf numFmtId="0" fontId="92" fillId="28" borderId="97" xfId="12" applyFont="1" applyFill="1" applyBorder="1" applyAlignment="1">
      <alignment horizontal="center" vertical="center"/>
    </xf>
    <xf numFmtId="0" fontId="92" fillId="28" borderId="49" xfId="12" applyFont="1" applyFill="1" applyBorder="1" applyAlignment="1">
      <alignment horizontal="center" vertical="center"/>
    </xf>
    <xf numFmtId="0" fontId="92" fillId="11" borderId="0" xfId="12" applyFont="1" applyFill="1" applyAlignment="1">
      <alignment horizontal="center" vertical="center"/>
    </xf>
    <xf numFmtId="0" fontId="91" fillId="0" borderId="0" xfId="12" applyFont="1"/>
    <xf numFmtId="0" fontId="92" fillId="11" borderId="0" xfId="10" applyFont="1" applyFill="1" applyAlignment="1"/>
    <xf numFmtId="0" fontId="92" fillId="28" borderId="98" xfId="12" applyFont="1" applyFill="1" applyBorder="1" applyAlignment="1">
      <alignment horizontal="center" vertical="center"/>
    </xf>
    <xf numFmtId="0" fontId="92" fillId="28" borderId="17" xfId="12" applyFont="1" applyFill="1" applyBorder="1" applyAlignment="1">
      <alignment horizontal="center" vertical="center"/>
    </xf>
    <xf numFmtId="0" fontId="92" fillId="28" borderId="99" xfId="12" applyFont="1" applyFill="1" applyBorder="1" applyAlignment="1">
      <alignment horizontal="center" vertical="center"/>
    </xf>
    <xf numFmtId="0" fontId="92" fillId="0" borderId="0" xfId="10" applyFont="1" applyAlignment="1"/>
    <xf numFmtId="0" fontId="91" fillId="11" borderId="0" xfId="12" applyFont="1" applyFill="1" applyAlignment="1">
      <alignment vertical="center"/>
    </xf>
    <xf numFmtId="0" fontId="92" fillId="28" borderId="100" xfId="12" applyFont="1" applyFill="1" applyBorder="1" applyAlignment="1">
      <alignment horizontal="center" vertical="center"/>
    </xf>
    <xf numFmtId="0" fontId="92" fillId="28" borderId="89" xfId="12" applyFont="1" applyFill="1" applyBorder="1" applyAlignment="1">
      <alignment horizontal="center" vertical="center"/>
    </xf>
    <xf numFmtId="43" fontId="92" fillId="28" borderId="89" xfId="11" applyFont="1" applyFill="1" applyBorder="1" applyAlignment="1">
      <alignment horizontal="center" vertical="center"/>
    </xf>
    <xf numFmtId="0" fontId="92" fillId="28" borderId="90" xfId="12" applyFont="1" applyFill="1" applyBorder="1" applyAlignment="1">
      <alignment horizontal="center" vertical="center"/>
    </xf>
    <xf numFmtId="0" fontId="91" fillId="0" borderId="0" xfId="12" applyFont="1" applyAlignment="1">
      <alignment vertical="center"/>
    </xf>
    <xf numFmtId="0" fontId="37" fillId="11" borderId="0" xfId="10" applyFont="1" applyFill="1" applyAlignment="1">
      <alignment horizontal="centerContinuous"/>
    </xf>
    <xf numFmtId="43" fontId="37" fillId="11" borderId="0" xfId="11" applyFont="1" applyFill="1" applyAlignment="1">
      <alignment horizontal="centerContinuous"/>
    </xf>
    <xf numFmtId="0" fontId="37" fillId="0" borderId="0" xfId="10" applyFont="1"/>
    <xf numFmtId="0" fontId="37" fillId="11" borderId="0" xfId="10" applyFont="1" applyFill="1" applyBorder="1" applyAlignment="1"/>
    <xf numFmtId="0" fontId="37" fillId="25" borderId="17" xfId="10" applyFont="1" applyFill="1" applyBorder="1" applyAlignment="1"/>
    <xf numFmtId="0" fontId="37" fillId="10" borderId="0" xfId="10" applyFont="1" applyFill="1"/>
    <xf numFmtId="0" fontId="27" fillId="11" borderId="22" xfId="10" applyFont="1" applyFill="1" applyBorder="1" applyAlignment="1">
      <alignment horizontal="center"/>
    </xf>
    <xf numFmtId="0" fontId="30" fillId="11" borderId="24" xfId="10" applyFont="1" applyFill="1" applyBorder="1" applyAlignment="1">
      <alignment wrapText="1"/>
    </xf>
    <xf numFmtId="0" fontId="27" fillId="11" borderId="26" xfId="10" applyFont="1" applyFill="1" applyBorder="1" applyAlignment="1">
      <alignment horizontal="center"/>
    </xf>
    <xf numFmtId="0" fontId="30" fillId="11" borderId="24" xfId="10" applyFont="1" applyFill="1" applyBorder="1" applyAlignment="1">
      <alignment vertical="top" wrapText="1"/>
    </xf>
    <xf numFmtId="0" fontId="30" fillId="11" borderId="4" xfId="10" applyFont="1" applyFill="1" applyBorder="1" applyAlignment="1">
      <alignment vertical="top" wrapText="1"/>
    </xf>
    <xf numFmtId="0" fontId="30" fillId="11" borderId="4" xfId="10" applyFont="1" applyFill="1" applyBorder="1" applyAlignment="1">
      <alignment wrapText="1"/>
    </xf>
    <xf numFmtId="0" fontId="30" fillId="11" borderId="32" xfId="10" applyFont="1" applyFill="1" applyBorder="1" applyAlignment="1">
      <alignment horizontal="right" wrapText="1"/>
    </xf>
    <xf numFmtId="41" fontId="30" fillId="5" borderId="24" xfId="10" applyNumberFormat="1" applyFont="1" applyFill="1" applyBorder="1" applyAlignment="1">
      <alignment horizontal="center" vertical="top" wrapText="1"/>
    </xf>
    <xf numFmtId="41" fontId="30" fillId="5" borderId="4" xfId="10" applyNumberFormat="1" applyFont="1" applyFill="1" applyBorder="1" applyAlignment="1">
      <alignment horizontal="center" vertical="top"/>
    </xf>
    <xf numFmtId="0" fontId="30" fillId="5" borderId="24" xfId="10" applyFont="1" applyFill="1" applyBorder="1" applyAlignment="1">
      <alignment horizontal="center" vertical="top" wrapText="1"/>
    </xf>
    <xf numFmtId="0" fontId="30" fillId="5" borderId="4" xfId="10" applyFont="1" applyFill="1" applyBorder="1" applyAlignment="1">
      <alignment horizontal="center" vertical="top" wrapText="1"/>
    </xf>
    <xf numFmtId="17" fontId="74" fillId="38" borderId="66" xfId="1" quotePrefix="1" applyNumberFormat="1" applyFont="1" applyFill="1" applyBorder="1" applyAlignment="1" applyProtection="1">
      <alignment horizontal="center" vertical="center" shrinkToFit="1"/>
      <protection locked="0"/>
    </xf>
    <xf numFmtId="10" fontId="72" fillId="38" borderId="72" xfId="1" quotePrefix="1" applyNumberFormat="1" applyFont="1" applyFill="1" applyBorder="1" applyAlignment="1" applyProtection="1">
      <alignment horizontal="center" vertical="center" shrinkToFit="1"/>
      <protection locked="0"/>
    </xf>
    <xf numFmtId="0" fontId="72" fillId="38" borderId="49" xfId="1" applyNumberFormat="1" applyFont="1" applyFill="1" applyBorder="1" applyAlignment="1" applyProtection="1">
      <alignment horizontal="center" vertical="top" wrapText="1"/>
      <protection locked="0"/>
    </xf>
    <xf numFmtId="0" fontId="72" fillId="38" borderId="118" xfId="1" applyNumberFormat="1" applyFont="1" applyFill="1" applyBorder="1" applyAlignment="1" applyProtection="1">
      <alignment horizontal="center" vertical="top" wrapText="1"/>
      <protection locked="0"/>
    </xf>
    <xf numFmtId="0" fontId="72" fillId="38" borderId="0" xfId="1" applyNumberFormat="1" applyFont="1" applyFill="1" applyBorder="1" applyAlignment="1" applyProtection="1">
      <alignment horizontal="center" vertical="top" wrapText="1"/>
      <protection locked="0"/>
    </xf>
    <xf numFmtId="0" fontId="72" fillId="38" borderId="119" xfId="1" applyNumberFormat="1" applyFont="1" applyFill="1" applyBorder="1" applyAlignment="1" applyProtection="1">
      <alignment horizontal="center" vertical="top" wrapText="1"/>
      <protection locked="0"/>
    </xf>
    <xf numFmtId="0" fontId="72" fillId="38" borderId="120" xfId="1" applyNumberFormat="1" applyFont="1" applyFill="1" applyBorder="1" applyAlignment="1" applyProtection="1">
      <alignment horizontal="center" vertical="top" wrapText="1"/>
      <protection locked="0"/>
    </xf>
    <xf numFmtId="0" fontId="74" fillId="38" borderId="85" xfId="1" applyNumberFormat="1" applyFont="1" applyFill="1" applyBorder="1" applyAlignment="1" applyProtection="1">
      <alignment horizontal="center" vertical="center" shrinkToFit="1"/>
      <protection locked="0"/>
    </xf>
    <xf numFmtId="0" fontId="74" fillId="38" borderId="125" xfId="1" applyNumberFormat="1" applyFont="1" applyFill="1" applyBorder="1" applyAlignment="1" applyProtection="1">
      <alignment horizontal="center" vertical="center" shrinkToFit="1"/>
      <protection locked="0"/>
    </xf>
    <xf numFmtId="0" fontId="74" fillId="38" borderId="122" xfId="1" applyNumberFormat="1" applyFont="1" applyFill="1" applyBorder="1" applyAlignment="1" applyProtection="1">
      <alignment horizontal="center" vertical="center" shrinkToFit="1"/>
      <protection locked="0"/>
    </xf>
    <xf numFmtId="0" fontId="74" fillId="38" borderId="116" xfId="1" applyNumberFormat="1" applyFont="1" applyFill="1" applyBorder="1" applyAlignment="1" applyProtection="1">
      <alignment horizontal="center" vertical="center" shrinkToFit="1"/>
      <protection locked="0"/>
    </xf>
    <xf numFmtId="0" fontId="74" fillId="38" borderId="115" xfId="1" applyNumberFormat="1" applyFont="1" applyFill="1" applyBorder="1" applyAlignment="1" applyProtection="1">
      <alignment horizontal="center" vertical="center" shrinkToFit="1"/>
      <protection locked="0"/>
    </xf>
    <xf numFmtId="43" fontId="74" fillId="38" borderId="125" xfId="1" applyFont="1" applyFill="1" applyBorder="1" applyAlignment="1" applyProtection="1">
      <alignment horizontal="center" vertical="center" shrinkToFit="1"/>
      <protection locked="0"/>
    </xf>
    <xf numFmtId="43" fontId="74" fillId="38" borderId="116" xfId="1" applyFont="1" applyFill="1" applyBorder="1" applyAlignment="1" applyProtection="1">
      <alignment horizontal="center" vertical="center" shrinkToFit="1"/>
      <protection locked="0"/>
    </xf>
    <xf numFmtId="0" fontId="72" fillId="38" borderId="71" xfId="1" applyNumberFormat="1" applyFont="1" applyFill="1" applyBorder="1" applyAlignment="1" applyProtection="1">
      <alignment horizontal="center" vertical="top" wrapText="1"/>
      <protection locked="0"/>
    </xf>
  </cellXfs>
  <cellStyles count="14">
    <cellStyle name="40% - Accent3" xfId="7" builtinId="39"/>
    <cellStyle name="40% - Accent5" xfId="8" builtinId="47"/>
    <cellStyle name="Comma" xfId="1" builtinId="3"/>
    <cellStyle name="Comma 2" xfId="11" xr:uid="{35822B5A-C7C2-44B2-A681-0B5492F88E31}"/>
    <cellStyle name="Currency" xfId="2" builtinId="4"/>
    <cellStyle name="Good" xfId="5" builtinId="26"/>
    <cellStyle name="Heading 1" xfId="3" builtinId="16"/>
    <cellStyle name="Heading 4" xfId="4" builtinId="19"/>
    <cellStyle name="Heading 4 2" xfId="13" xr:uid="{AFCB3CEA-02F0-45E4-A1D9-8950E9487163}"/>
    <cellStyle name="Normal" xfId="0" builtinId="0"/>
    <cellStyle name="Normal 2" xfId="12" xr:uid="{F7E5A196-D5F9-4AF9-B8F2-156FA5986BEF}"/>
    <cellStyle name="Percent" xfId="9" builtinId="5"/>
    <cellStyle name="Title 2" xfId="10" xr:uid="{1F8A6357-1365-4D86-8018-08A14816939D}"/>
    <cellStyle name="Total" xfId="6" builtinId="25"/>
  </cellStyles>
  <dxfs count="111">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numFmt numFmtId="164" formatCode="_-* #,##0.00_-;\-* #,##0.00_-;_-* &quot;-&quot;??_-;_-@_-"/>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readingOrder="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b val="0"/>
        <i val="0"/>
        <strike val="0"/>
        <condense val="0"/>
        <extend val="0"/>
        <outline val="0"/>
        <shadow val="0"/>
        <u val="none"/>
        <vertAlign val="baseline"/>
        <sz val="12"/>
        <color indexed="9"/>
        <name val="Arial"/>
        <family val="2"/>
        <scheme val="none"/>
      </font>
      <fill>
        <patternFill patternType="solid">
          <fgColor indexed="64"/>
          <bgColor indexed="9"/>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medium">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border diagonalUp="0" diagonalDown="0" outline="0">
        <left style="medium">
          <color indexed="64"/>
        </left>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outline="0">
        <left style="thin">
          <color rgb="FF000000"/>
        </left>
        <right style="thin">
          <color rgb="FF000000"/>
        </right>
        <top/>
        <bottom/>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name val="Arial"/>
        <scheme val="none"/>
      </font>
      <alignment textRotation="0" indent="0" justifyLastLine="0" readingOrder="0"/>
      <border diagonalUp="0" diagonalDown="0" outline="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left style="thin">
          <color indexed="64"/>
        </left>
        <right style="thin">
          <color indexed="64"/>
        </right>
        <top/>
        <bottom/>
        <vertical style="thin">
          <color indexed="64"/>
        </vertical>
        <horizontal/>
      </border>
      <protection locked="0" hidden="0"/>
    </dxf>
    <dxf>
      <font>
        <strike val="0"/>
        <outline val="0"/>
        <shadow val="0"/>
        <u val="none"/>
        <vertAlign val="baseline"/>
        <sz val="14"/>
        <name val="Tahoma"/>
        <family val="2"/>
        <scheme val="none"/>
      </font>
      <alignment textRotation="0" indent="0" justifyLastLine="0" readingOrder="0"/>
      <border diagonalUp="0" diagonalDown="0" outline="0"/>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textRotation="0" indent="0" justifyLastLine="0" shrinkToFit="0" readingOrder="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vertical="bottom" textRotation="0" wrapText="0" indent="0" justifyLastLine="0" shrinkToFit="0" readingOrder="0"/>
      <border diagonalUp="0" diagonalDown="0" outline="0">
        <left style="thin">
          <color indexed="64"/>
        </left>
        <right style="thin">
          <color indexed="64"/>
        </right>
        <top style="dotted">
          <color indexed="53"/>
        </top>
        <bottom style="dotted">
          <color indexed="53"/>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fill>
        <patternFill patternType="solid">
          <fgColor indexed="64"/>
          <bgColor theme="6" tint="0.79998168889431442"/>
        </patternFill>
      </fill>
      <border diagonalUp="0" diagonalDown="0" outline="0">
        <left style="thin">
          <color indexed="64"/>
        </left>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border diagonalUp="0" diagonalDown="0" outline="0">
        <left style="medium">
          <color indexed="64"/>
        </lef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4"/>
        <color indexed="8"/>
        <name val="Tahoma"/>
        <family val="2"/>
        <scheme val="none"/>
      </font>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indexed="8"/>
        <name val="Tahoma"/>
        <family val="2"/>
        <scheme val="none"/>
      </font>
      <fill>
        <patternFill patternType="solid">
          <fgColor indexed="64"/>
          <bgColor rgb="FFF9FFDD"/>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fill>
        <patternFill patternType="solid">
          <fgColor indexed="64"/>
          <bgColor rgb="FFF9FFDD"/>
        </patternFill>
      </fill>
      <border diagonalUp="0" diagonalDown="0" outline="0">
        <left style="thin">
          <color indexed="64"/>
        </left>
        <right style="thin">
          <color indexed="64"/>
        </right>
      </border>
    </dxf>
    <dxf>
      <font>
        <strike val="0"/>
        <outline val="0"/>
        <shadow val="0"/>
        <u val="none"/>
        <vertAlign val="baseline"/>
        <sz val="14"/>
        <name val="Tahoma"/>
        <family val="2"/>
        <scheme val="none"/>
      </font>
      <border diagonalUp="0" diagonalDown="0" outline="0">
        <right style="thin">
          <color indexed="64"/>
        </right>
      </border>
    </dxf>
    <dxf>
      <font>
        <strike val="0"/>
        <outline val="0"/>
        <shadow val="0"/>
        <u val="none"/>
        <vertAlign val="baseline"/>
        <sz val="14"/>
        <name val="Tahoma"/>
        <family val="2"/>
        <scheme val="none"/>
      </font>
      <border diagonalUp="0" diagonalDown="0" outline="0">
        <right style="thin">
          <color indexed="64"/>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textRotation="0" indent="0" justifyLastLine="0" readingOrder="0"/>
      <border diagonalUp="0" diagonalDown="0" outline="0">
        <left style="medium">
          <color indexed="64"/>
        </lef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fill>
        <patternFill patternType="solid">
          <fgColor indexed="64"/>
          <bgColor theme="6" tint="0.79998168889431442"/>
        </patternFill>
      </fill>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indexed="8"/>
        <name val="Tahoma"/>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border outline="0">
        <left style="thin">
          <color indexed="64"/>
        </lef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dxf>
    <dxf>
      <font>
        <strike val="0"/>
        <outline val="0"/>
        <shadow val="0"/>
        <u val="none"/>
        <vertAlign val="baseline"/>
        <sz val="14"/>
        <color theme="1"/>
        <name val="Tahoma"/>
        <family val="2"/>
        <scheme val="none"/>
      </font>
      <border outline="0">
        <left style="thin">
          <color indexed="64"/>
        </left>
        <right style="medium">
          <color indexed="64"/>
        </righ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border outline="0">
        <left style="thin">
          <color indexed="64"/>
        </left>
        <right style="thin">
          <color indexed="64"/>
        </righ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numFmt numFmtId="0" formatCode="General"/>
      <fill>
        <patternFill patternType="none">
          <fgColor indexed="64"/>
          <bgColor auto="1"/>
        </patternFill>
      </fill>
      <border outline="0">
        <left style="thin">
          <color indexed="64"/>
        </left>
        <right style="thin">
          <color indexed="64"/>
        </righ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4"/>
        <color indexed="8"/>
        <name val="Tahoma"/>
        <family val="2"/>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strike val="0"/>
        <outline val="0"/>
        <shadow val="0"/>
        <u val="none"/>
        <vertAlign val="baseline"/>
        <sz val="14"/>
        <color indexed="8"/>
        <name val="Tahoma"/>
        <family val="2"/>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border outline="0">
        <left style="thin">
          <color indexed="64"/>
        </left>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4"/>
        <color indexed="9"/>
        <name val="Tahoma"/>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dxf>
    <dxf>
      <border>
        <top style="thin">
          <color indexed="64"/>
        </top>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Tahoma"/>
        <family val="2"/>
        <scheme val="none"/>
      </font>
      <alignment textRotation="0" indent="0" justifyLastLine="0" readingOrder="0"/>
      <border diagonalUp="0" diagonalDown="0" outline="0"/>
      <protection locked="0" hidden="0"/>
    </dxf>
    <dxf>
      <font>
        <strike val="0"/>
        <outline val="0"/>
        <shadow val="0"/>
        <u val="none"/>
        <vertAlign val="baseline"/>
        <sz val="14"/>
        <color theme="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FDE9F4"/>
      <color rgb="FFFCDCEE"/>
      <color rgb="FF0000FF"/>
      <color rgb="FFDACCFC"/>
      <color rgb="FFF9FFDD"/>
      <color rgb="FF000099"/>
      <color rgb="FFC0A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1358900</xdr:colOff>
      <xdr:row>73</xdr:row>
      <xdr:rowOff>140758</xdr:rowOff>
    </xdr:from>
    <xdr:to>
      <xdr:col>4</xdr:col>
      <xdr:colOff>428625</xdr:colOff>
      <xdr:row>74</xdr:row>
      <xdr:rowOff>15027</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3263900" y="13256683"/>
          <a:ext cx="2946400" cy="45719"/>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(คุณจินตนา</a:t>
          </a:r>
          <a:r>
            <a:rPr lang="th-TH" sz="1600" b="1" baseline="0">
              <a:effectLst/>
              <a:latin typeface="Angsana New" panose="02020603050405020304" pitchFamily="18" charset="-34"/>
              <a:ea typeface="Times New Roman" panose="02020603050405020304" pitchFamily="18" charset="0"/>
              <a:cs typeface="Angsana New" panose="02020603050405020304" pitchFamily="18" charset="-34"/>
            </a:rPr>
            <a:t> อ้อยหวาน</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Assistant Sales Manager</a:t>
          </a:r>
          <a:endParaRPr lang="en-US" sz="1400" b="1">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xdr:from>
      <xdr:col>5</xdr:col>
      <xdr:colOff>1064386</xdr:colOff>
      <xdr:row>74</xdr:row>
      <xdr:rowOff>107</xdr:rowOff>
    </xdr:from>
    <xdr:to>
      <xdr:col>9</xdr:col>
      <xdr:colOff>693618</xdr:colOff>
      <xdr:row>74</xdr:row>
      <xdr:rowOff>107</xdr:rowOff>
    </xdr:to>
    <xdr:sp macro="" textlink="">
      <xdr:nvSpPr>
        <xdr:cNvPr id="5" name="Text Box 2">
          <a:extLst>
            <a:ext uri="{FF2B5EF4-FFF2-40B4-BE49-F238E27FC236}">
              <a16:creationId xmlns:a16="http://schemas.microsoft.com/office/drawing/2014/main" id="{0F700A61-B14B-41CA-95B2-ADCC19411B6A}"/>
            </a:ext>
          </a:extLst>
        </xdr:cNvPr>
        <xdr:cNvSpPr txBox="1">
          <a:spLocks noChangeArrowheads="1"/>
        </xdr:cNvSpPr>
      </xdr:nvSpPr>
      <xdr:spPr bwMode="auto">
        <a:xfrm>
          <a:off x="7931911" y="13287482"/>
          <a:ext cx="3982157"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editAs="oneCell">
    <xdr:from>
      <xdr:col>8</xdr:col>
      <xdr:colOff>857074</xdr:colOff>
      <xdr:row>125</xdr:row>
      <xdr:rowOff>35859</xdr:rowOff>
    </xdr:from>
    <xdr:to>
      <xdr:col>269</xdr:col>
      <xdr:colOff>244756</xdr:colOff>
      <xdr:row>141</xdr:row>
      <xdr:rowOff>59767</xdr:rowOff>
    </xdr:to>
    <xdr:pic>
      <xdr:nvPicPr>
        <xdr:cNvPr id="4" name="Picture 3">
          <a:extLst>
            <a:ext uri="{FF2B5EF4-FFF2-40B4-BE49-F238E27FC236}">
              <a16:creationId xmlns:a16="http://schemas.microsoft.com/office/drawing/2014/main" id="{0449F9E3-27E7-4EA1-8179-293971E70AD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63" r="7898"/>
        <a:stretch/>
      </xdr:blipFill>
      <xdr:spPr>
        <a:xfrm>
          <a:off x="11498180" y="21389788"/>
          <a:ext cx="5870845" cy="2904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1073149</xdr:colOff>
      <xdr:row>52</xdr:row>
      <xdr:rowOff>150283</xdr:rowOff>
    </xdr:from>
    <xdr:to>
      <xdr:col>4</xdr:col>
      <xdr:colOff>247649</xdr:colOff>
      <xdr:row>53</xdr:row>
      <xdr:rowOff>38099</xdr:rowOff>
    </xdr:to>
    <xdr:sp macro="" textlink="">
      <xdr:nvSpPr>
        <xdr:cNvPr id="12" name="Text Box 2">
          <a:extLst>
            <a:ext uri="{FF2B5EF4-FFF2-40B4-BE49-F238E27FC236}">
              <a16:creationId xmlns:a16="http://schemas.microsoft.com/office/drawing/2014/main" id="{BB2340A5-D42D-4999-8058-2F16BD56D4A5}"/>
            </a:ext>
          </a:extLst>
        </xdr:cNvPr>
        <xdr:cNvSpPr txBox="1">
          <a:spLocks noChangeArrowheads="1"/>
        </xdr:cNvSpPr>
      </xdr:nvSpPr>
      <xdr:spPr bwMode="auto">
        <a:xfrm>
          <a:off x="2978149" y="13380508"/>
          <a:ext cx="2974975" cy="68791"/>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(คุณจินตนา อ้อยหวาน)</a:t>
          </a: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Sales Assistant Manager  </a:t>
          </a:r>
          <a:endParaRPr lang="en-US" sz="1400" b="1">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xdr:from>
      <xdr:col>5</xdr:col>
      <xdr:colOff>939165</xdr:colOff>
      <xdr:row>53</xdr:row>
      <xdr:rowOff>5715</xdr:rowOff>
    </xdr:from>
    <xdr:to>
      <xdr:col>9</xdr:col>
      <xdr:colOff>790805</xdr:colOff>
      <xdr:row>53</xdr:row>
      <xdr:rowOff>5715</xdr:rowOff>
    </xdr:to>
    <xdr:sp macro="" textlink="">
      <xdr:nvSpPr>
        <xdr:cNvPr id="6" name="Text Box 2">
          <a:extLst>
            <a:ext uri="{FF2B5EF4-FFF2-40B4-BE49-F238E27FC236}">
              <a16:creationId xmlns:a16="http://schemas.microsoft.com/office/drawing/2014/main" id="{6CEE5F5A-31C0-40D9-AC03-3472EC636933}"/>
            </a:ext>
          </a:extLst>
        </xdr:cNvPr>
        <xdr:cNvSpPr txBox="1">
          <a:spLocks noChangeArrowheads="1"/>
        </xdr:cNvSpPr>
      </xdr:nvSpPr>
      <xdr:spPr bwMode="auto">
        <a:xfrm>
          <a:off x="7749540" y="13416915"/>
          <a:ext cx="3985490"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878C68-A372-446C-8256-BD036B6D96E7}" name="Table1351452010" displayName="Table1351452010" ref="A6:AM58" totalsRowShown="0" headerRowDxfId="110" dataDxfId="109" totalsRowDxfId="107" tableBorderDxfId="108" totalsRowBorderDxfId="106">
  <autoFilter ref="A6:AM58" xr:uid="{3C878C68-A372-446C-8256-BD036B6D96E7}"/>
  <tableColumns count="39">
    <tableColumn id="1" xr3:uid="{7A68EB0F-4EB7-4EA0-B847-CDCEDE1995D9}" name="ลำดับ" dataDxfId="105" totalsRowDxfId="104"/>
    <tableColumn id="7" xr3:uid="{8F6F8C50-9D55-461F-83AF-B2E29A90BB45}" name="รหัสลูกค้า" dataDxfId="103" totalsRowDxfId="102" dataCellStyle="Total"/>
    <tableColumn id="2" xr3:uid="{E91B7877-DC71-4CB9-BA7F-36CA618C37EA}" name="ชื่อเจ้าของโครงการ" dataDxfId="101" totalsRowDxfId="100"/>
    <tableColumn id="10" xr3:uid="{19271DD2-0A59-4759-AE5D-1AB63890B014}" name="Sales" dataDxfId="99" dataCellStyle="Total"/>
    <tableColumn id="5" xr3:uid="{A5848258-9033-4D9F-8296-8ECDB5D9D258}" name="บริการประเภท" dataDxfId="98" totalsRowDxfId="97" dataCellStyle="Total"/>
    <tableColumn id="17" xr3:uid="{8592FD8A-BED8-4DA3-ABB4-411909CBDC12}" name="เดือนที่ปิดการขาย" dataDxfId="96" totalsRowDxfId="95"/>
    <tableColumn id="24" xr3:uid="{4787A654-053B-4970-BE8C-94B3928D6967}" name="ระยะเวลาสัญญา_x000a_(เดือน)" dataDxfId="94" totalsRowDxfId="93"/>
    <tableColumn id="23" xr3:uid="{71B0D79B-1882-4676-A4CD-587CCE651620}" name="% ค่าคอมค่าบริการ_x000a_(อัตราก้าวหน้า)" dataDxfId="92"/>
    <tableColumn id="20" xr3:uid="{48B19DD3-4849-4286-91E3-FE1F20647640}" name="เดือนที่เริ่มเก็บ_x000a_ค่าบริการ" dataDxfId="91" totalsRowDxfId="90"/>
    <tableColumn id="19" xr3:uid="{4D64D369-8CC0-48C9-8408-2623DCFB69A3}" name="ค่าบริการเฉลี่ยต่อเดือน" dataDxfId="89" totalsRowDxfId="88"/>
    <tableColumn id="18" xr3:uid="{7B85F650-D5D4-407F-894D-50A267647FC2}" name="หัก ณ ที่จ่าย_x000a_(ค่าบริการ)" dataDxfId="87" totalsRowDxfId="86"/>
    <tableColumn id="27" xr3:uid="{8F50D093-5CBA-4540-8D5B-69F0ABCFDE07}" name="มูลค่าหัก 3%" dataDxfId="85" totalsRowDxfId="84"/>
    <tableColumn id="25" xr3:uid="{448C2BE4-700B-472E-8A90-659E7D16D1C0}" name="ค่าบริการเฉลียรายเดือนตาม Package_x000a_(เรียกเก็บสุทธิ)" dataDxfId="83" totalsRowDxfId="82" dataCellStyle="Comma"/>
    <tableColumn id="28" xr3:uid="{49720FE6-4F55-473F-8AC8-5EFA4FCF11EF}" name="Total_x000a_รายการเบิก_x000a_คอมขาย_x000a_(1)" dataDxfId="81" totalsRowDxfId="80"/>
    <tableColumn id="9" xr3:uid="{E8C32789-49FE-47D8-9CC6-E6DC2865932C}" name="แบ่งจ่าย/งวด_x000a_(ตามปีสัญญา)" dataDxfId="79" totalsRowDxfId="78" dataCellStyle="Comma"/>
    <tableColumn id="36" xr3:uid="{1BD716E4-B9C4-4CAC-97E3-608F6BA2E34B}" name="ปีที่1"/>
    <tableColumn id="39" xr3:uid="{86B4988D-D2E9-4E82-87A1-9E8EB4FBD369}" name="ปีที่2"/>
    <tableColumn id="38" xr3:uid="{6FC74DCC-7D98-49E1-9DBE-381609B4257F}" name="ปีที่3" totalsRowDxfId="77"/>
    <tableColumn id="37" xr3:uid="{A23F8696-5FCA-4591-B4A1-883EF138DC52}" name="ปีที่4" totalsRowDxfId="76"/>
    <tableColumn id="21" xr3:uid="{C2838910-2F21-4DDC-8C73-E29A1127C374}" name="ปีที่5" totalsRowDxfId="75"/>
    <tableColumn id="22" xr3:uid="{EE653E92-1BD1-40DB-9031-773B3881CD5E}" name="ค่าเชื่อมสัญญาณ/_x000a_ค่าติดตั้ง/_x000a_ค่าขายอุปกรณ์" dataDxfId="74" totalsRowDxfId="73" dataCellStyle="Comma"/>
    <tableColumn id="31" xr3:uid="{81D93D84-9951-4BCA-8794-1A846E256361}" name="หัก ณ ที่จ่าย_x000a_(ค่าติตั้ง)" totalsRowDxfId="72"/>
    <tableColumn id="30" xr3:uid="{7C8640FD-82A9-4D16-A296-5D144ECD0C1F}" name="มูลค่าหัก 3%_x000a_(ค่าติดตั้ง)" totalsRowDxfId="71"/>
    <tableColumn id="32" xr3:uid="{30DB91D5-408A-49E0-98F5-877236EC415F}" name="ค่าเชื่อมสัญญาณ/_x000a_ค่าติดตั้ง/_x000a_ค่าขายอุปกรณ์_x000a_(เรียกเก็บสุทธิ)"/>
    <tableColumn id="8" xr3:uid="{3A93194E-260A-40B9-9FBF-008409553371}" name="ต้นทุน" dataDxfId="70"/>
    <tableColumn id="15" xr3:uid="{EF0497B7-59F3-4306-A5C1-08BEA2CF0E85}" name="ส่วนต่างกำไร" dataDxfId="69" dataCellStyle="Comma"/>
    <tableColumn id="6" xr3:uid="{43A73351-F329-4C6C-8D46-8406F3275AF6}" name="คอมฯ_x000a_ 5%" dataDxfId="68" totalsRowDxfId="67" dataCellStyle="Comma"/>
    <tableColumn id="26" xr3:uid="{758CBD6F-DD47-4531-8868-34976B0F62D4}" name="คอมฯ_x000a_10%" dataDxfId="66" totalsRowDxfId="65" dataCellStyle="Comma"/>
    <tableColumn id="16" xr3:uid="{78ACD765-640C-4D43-AC13-54384C4A941E}" name="Total_x000a_ค่าเชื่มสัญญาณ/ค่าติดตั้ง/_x000a_ค่าขายอุปกรณ์_x000a_(2)" dataDxfId="64" totalsRowDxfId="63" dataCellStyle="Comma"/>
    <tableColumn id="11" xr3:uid="{8011303A-D1A5-446B-B527-C3286D436110}" name="ค่าเชื่อมสัญญาณ" dataDxfId="62" totalsRowDxfId="61" dataCellStyle="Comma"/>
    <tableColumn id="35" xr3:uid="{FB852967-4C58-463A-91B0-E98097B6FA71}" name="หัก ณ ที่จ่าย_x000a_(ค่าเชื่อมสัญญาณ)" totalsRowDxfId="60"/>
    <tableColumn id="34" xr3:uid="{55AA47FC-A38B-4C13-9051-F3DF95C24ED9}" name="มูลค่าหัก 3%_x000a_(ค่าเชื่อมสัญญาณ)" totalsRowDxfId="59"/>
    <tableColumn id="33" xr3:uid="{2E84EB8F-6C92-4D66-AC15-493FC20C46C3}" name="ค่าเชื่อมสัญญาณ_x000a_(เรียกเก็บสุทธิ)" totalsRowDxfId="58"/>
    <tableColumn id="14" xr3:uid="{714892B4-1AAA-47F9-97C0-DB9B6A097513}" name="Total _x000a_คอมฯค่าเชื่อมสัญญาณ_x000a_(3)" dataDxfId="57" totalsRowDxfId="56" dataCellStyle="Comma"/>
    <tableColumn id="13" xr3:uid="{01E93865-3399-4061-A66D-18E027C46EBE}" name="รวมค่าคอมฯ" dataDxfId="55" totalsRowDxfId="54" dataCellStyle="Comma"/>
    <tableColumn id="3" xr3:uid="{E3C14B63-3A8F-4A86-98D8-22F73FF5717A}" name="เลขที่ใบกำกับ/ใบเสร็จรับเงิน" dataDxfId="53" totalsRowDxfId="52"/>
    <tableColumn id="29" xr3:uid="{19195CF2-9F31-4094-B7B0-522E55CE71CA}" name="เลขที่นำส่งเงิน_x000a_" dataDxfId="51" totalsRowDxfId="50"/>
    <tableColumn id="4" xr3:uid="{55D2584C-42D9-4C3B-B911-8FF4B7984098}" name="เขตการขาย" dataDxfId="49" totalsRowDxfId="48"/>
    <tableColumn id="12" xr3:uid="{23D9706D-4622-457E-9E38-B7755D1A566A}" name="Column1" dataDxfId="47" totalsRowDxfId="46"/>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130E4C-DC9D-4647-817A-46CABDF232F9}" name="Table13514520105" displayName="Table13514520105" ref="A5:U30" totalsRowCount="1" headerRowDxfId="45" dataDxfId="44" totalsRowDxfId="42" tableBorderDxfId="43">
  <tableColumns count="21">
    <tableColumn id="1" xr3:uid="{DF3FD6E6-D745-41F2-ADF9-CD13EAF9355A}" name="ลำดับ" dataDxfId="41" totalsRowDxfId="40"/>
    <tableColumn id="12" xr3:uid="{F4B5205B-6640-4698-B033-46648AA463E3}" name="รหัสลูกค้า" dataDxfId="39" totalsRowDxfId="38" dataCellStyle="Total"/>
    <tableColumn id="2" xr3:uid="{EFD4A409-0B37-48A4-A6D1-0EDAEA08B630}" name="ชื่อเจ้าของโครงการ" totalsRowLabel="Total" dataDxfId="37" totalsRowDxfId="36"/>
    <tableColumn id="10" xr3:uid="{0F59EE97-1C15-48E2-A068-6300779DD479}" name="Sales" dataDxfId="35" totalsRowDxfId="34"/>
    <tableColumn id="5" xr3:uid="{C7CF4C1E-6C22-4A12-BC86-223316804350}" name="บริการประเภท" dataDxfId="33" totalsRowDxfId="32" dataCellStyle="Total"/>
    <tableColumn id="25" xr3:uid="{8F2297A0-32B0-43D2-B9BD-8EC1009B1977}" name="ค่าบริการรายเดือนตาม Package" totalsRowFunction="sum" dataDxfId="31" totalsRowDxfId="30" dataCellStyle="Comma"/>
    <tableColumn id="21" xr3:uid="{75C8E32E-3F65-4F42-ACED-BFC8B27ADC32}" name="เดือนที่เริ่มเก็บ_x000a_ค่าบริการ" dataDxfId="29" totalsRowDxfId="28" dataCellStyle="Comma"/>
    <tableColumn id="8" xr3:uid="{87582A4B-C6E1-459B-9800-05571557ACEC}" name="รายการเบิก_x000a_คอมขายเพิ่มเติม_x000a_(เป้าตามกำหนด)_x000a_100-200%" totalsRowFunction="sum" dataDxfId="27" totalsRowDxfId="26" dataCellStyle="Comma"/>
    <tableColumn id="9" xr3:uid="{80B11174-88F7-481E-8588-DCC205A7F65B}" name="รายการเบิก_x000a_คอมขาย" totalsRowFunction="sum" dataDxfId="25" totalsRowDxfId="24" dataCellStyle="Comma"/>
    <tableColumn id="22" xr3:uid="{7E1E6494-3D75-42D9-9462-3378DBD97459}" name="ค่าขายอุปกรณ์" totalsRowFunction="sum" dataDxfId="23" totalsRowDxfId="22" dataCellStyle="Comma"/>
    <tableColumn id="4" xr3:uid="{6F575235-48BB-483E-BFE9-88158E351789}" name="ต้นทุนค่าขายอุปกรณ์" totalsRowFunction="sum" dataDxfId="21" totalsRowDxfId="20"/>
    <tableColumn id="6" xr3:uid="{7DF313D9-AB2D-4BE0-82F9-C19A4E538983}" name="คอมฯอุปกรณ์_x000a_ 5%" totalsRowFunction="sum" dataDxfId="19" totalsRowDxfId="18"/>
    <tableColumn id="26" xr3:uid="{B2B3E80A-ECD8-4B32-8E0F-D6A42BE9B960}" name="คอมฯ อุปกรณ์_x000a_25%" totalsRowFunction="sum" dataDxfId="17" totalsRowDxfId="16" dataCellStyle="Comma"/>
    <tableColumn id="13" xr3:uid="{580055DC-2FBC-4D00-BA82-8376F27591FF}" name="Total_x000a_คอมฯ อุปกรณ์" dataDxfId="15" totalsRowDxfId="14" dataCellStyle="Comma"/>
    <tableColumn id="15" xr3:uid="{52CA07EB-D357-46DC-8FE4-B6971D41F453}" name="ค่าติดตั้ง/ค่าเชื่อมสัญญาณ" dataDxfId="13" totalsRowDxfId="12" dataCellStyle="Comma"/>
    <tableColumn id="17" xr3:uid="{4EC6B6AD-0201-4110-8789-0A3FD486D800}" name="ต้นทุนค่าติดตั้ง/ค่าเชื่อมสัญญาณ" dataDxfId="11" totalsRowDxfId="10" dataCellStyle="Comma"/>
    <tableColumn id="16" xr3:uid="{95E16324-276E-48DC-8203-FB2D58BA6719}" name="Total _x000a_คอมฯค่าติดตั้ง/ค่าเชื่อมสัญญาณ" totalsRowFunction="sum" dataDxfId="9" totalsRowDxfId="8" dataCellStyle="Comma"/>
    <tableColumn id="3" xr3:uid="{02A9AB69-FFEB-4867-B132-52FAADBD4D7A}" name="รวมค่าคอมฯ" totalsRowFunction="sum" dataDxfId="7" totalsRowDxfId="6"/>
    <tableColumn id="11" xr3:uid="{323E8EBB-672E-49FF-886B-83397B13954F}" name="เลขที่ใบกำกับ/ใบเสร็จรับเงิน" totalsRowFunction="sum" dataDxfId="5" totalsRowDxfId="4"/>
    <tableColumn id="7" xr3:uid="{BCF445C2-E016-4A4B-AED8-A6BAA3F6BE25}" name="เลขที่นำส่งเงิน_x000a_" totalsRowFunction="sum" dataDxfId="3" totalsRowDxfId="2"/>
    <tableColumn id="14" xr3:uid="{0FC5A296-C82E-487E-BCC6-7040C9EE9F00}" name="เขตการขาย" dataDxfId="1" totalsRow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FA57-723D-4B5E-A41E-9DB34E106A85}">
  <dimension ref="A1:G18"/>
  <sheetViews>
    <sheetView workbookViewId="0">
      <selection activeCell="C12" sqref="C12"/>
    </sheetView>
  </sheetViews>
  <sheetFormatPr defaultRowHeight="13.2"/>
  <cols>
    <col min="1" max="1" width="8.88671875" style="337"/>
    <col min="2" max="2" width="26.44140625" bestFit="1" customWidth="1"/>
    <col min="3" max="3" width="29.21875" bestFit="1" customWidth="1"/>
    <col min="6" max="6" width="10.88671875" customWidth="1"/>
  </cols>
  <sheetData>
    <row r="1" spans="1:7" ht="26.4">
      <c r="B1" s="342" t="s">
        <v>55</v>
      </c>
      <c r="C1" s="387" t="s">
        <v>48</v>
      </c>
      <c r="D1" s="402" t="s">
        <v>196</v>
      </c>
      <c r="F1" s="401" t="s">
        <v>193</v>
      </c>
      <c r="G1" s="401" t="s">
        <v>209</v>
      </c>
    </row>
    <row r="2" spans="1:7" ht="13.8">
      <c r="A2" s="337" t="s">
        <v>155</v>
      </c>
      <c r="B2" s="338" t="s">
        <v>70</v>
      </c>
      <c r="C2" s="388" t="s">
        <v>45</v>
      </c>
      <c r="D2" s="339" t="s">
        <v>197</v>
      </c>
      <c r="F2" s="399">
        <v>45566</v>
      </c>
      <c r="G2" s="400">
        <v>6.6000000000000003E-2</v>
      </c>
    </row>
    <row r="3" spans="1:7" ht="13.8">
      <c r="A3" s="337" t="s">
        <v>155</v>
      </c>
      <c r="B3" s="338" t="s">
        <v>71</v>
      </c>
      <c r="C3" s="388" t="s">
        <v>46</v>
      </c>
      <c r="D3" s="338" t="s">
        <v>198</v>
      </c>
      <c r="F3" s="399">
        <v>45597</v>
      </c>
      <c r="G3" s="340"/>
    </row>
    <row r="4" spans="1:7" ht="13.8">
      <c r="A4" s="337" t="s">
        <v>155</v>
      </c>
      <c r="B4" s="338" t="s">
        <v>73</v>
      </c>
      <c r="C4" s="388" t="s">
        <v>220</v>
      </c>
      <c r="F4" s="399">
        <v>45627</v>
      </c>
      <c r="G4" s="340"/>
    </row>
    <row r="5" spans="1:7" ht="13.8">
      <c r="A5" s="337" t="s">
        <v>17</v>
      </c>
      <c r="B5" s="338" t="s">
        <v>74</v>
      </c>
      <c r="C5" s="388" t="s">
        <v>221</v>
      </c>
      <c r="F5" s="399">
        <v>45658</v>
      </c>
      <c r="G5" s="340"/>
    </row>
    <row r="6" spans="1:7" ht="13.8">
      <c r="A6" s="337" t="s">
        <v>17</v>
      </c>
      <c r="B6" s="338" t="s">
        <v>75</v>
      </c>
      <c r="C6" s="339" t="s">
        <v>156</v>
      </c>
      <c r="F6" s="399">
        <v>45689</v>
      </c>
      <c r="G6" s="340"/>
    </row>
    <row r="7" spans="1:7" ht="13.8">
      <c r="A7" s="337" t="s">
        <v>17</v>
      </c>
      <c r="B7" s="338" t="s">
        <v>154</v>
      </c>
      <c r="C7" s="339" t="s">
        <v>157</v>
      </c>
      <c r="F7" s="399">
        <v>45717</v>
      </c>
      <c r="G7" s="340"/>
    </row>
    <row r="8" spans="1:7" ht="13.8">
      <c r="A8" s="337" t="s">
        <v>17</v>
      </c>
      <c r="B8" s="338" t="s">
        <v>130</v>
      </c>
      <c r="C8" s="339" t="s">
        <v>59</v>
      </c>
      <c r="F8" s="399">
        <v>45748</v>
      </c>
      <c r="G8" s="340"/>
    </row>
    <row r="9" spans="1:7" ht="13.8">
      <c r="A9" s="337" t="s">
        <v>17</v>
      </c>
      <c r="B9" s="338" t="s">
        <v>153</v>
      </c>
      <c r="C9" s="339" t="s">
        <v>54</v>
      </c>
      <c r="F9" s="399">
        <v>45778</v>
      </c>
      <c r="G9" s="340"/>
    </row>
    <row r="10" spans="1:7" ht="13.8">
      <c r="A10" s="337" t="s">
        <v>78</v>
      </c>
      <c r="B10" s="338" t="s">
        <v>72</v>
      </c>
      <c r="C10" s="339" t="s">
        <v>49</v>
      </c>
      <c r="F10" s="399">
        <v>45809</v>
      </c>
      <c r="G10" s="340"/>
    </row>
    <row r="11" spans="1:7" ht="13.8">
      <c r="A11" s="337" t="s">
        <v>78</v>
      </c>
      <c r="B11" s="340" t="s">
        <v>68</v>
      </c>
      <c r="C11" s="339" t="s">
        <v>50</v>
      </c>
      <c r="F11" s="399">
        <v>45839</v>
      </c>
      <c r="G11" s="340"/>
    </row>
    <row r="12" spans="1:7" ht="13.8">
      <c r="A12" s="337" t="s">
        <v>78</v>
      </c>
      <c r="B12" s="338" t="s">
        <v>67</v>
      </c>
      <c r="C12" s="339" t="s">
        <v>51</v>
      </c>
    </row>
    <row r="13" spans="1:7" ht="13.8">
      <c r="A13" s="337" t="s">
        <v>78</v>
      </c>
      <c r="B13" s="338" t="s">
        <v>69</v>
      </c>
      <c r="C13" s="339" t="s">
        <v>52</v>
      </c>
    </row>
    <row r="14" spans="1:7" ht="13.8">
      <c r="A14" s="337" t="s">
        <v>78</v>
      </c>
      <c r="B14" s="338" t="s">
        <v>90</v>
      </c>
      <c r="C14" s="339" t="s">
        <v>47</v>
      </c>
    </row>
    <row r="15" spans="1:7" ht="13.8">
      <c r="B15" s="340" t="s">
        <v>21</v>
      </c>
      <c r="C15" s="339" t="s">
        <v>53</v>
      </c>
    </row>
    <row r="16" spans="1:7" ht="13.8">
      <c r="B16" s="340" t="s">
        <v>56</v>
      </c>
      <c r="C16" s="339" t="s">
        <v>96</v>
      </c>
    </row>
    <row r="17" spans="2:3" ht="13.8">
      <c r="B17" s="340" t="s">
        <v>18</v>
      </c>
      <c r="C17" s="113"/>
    </row>
    <row r="18" spans="2:3">
      <c r="B18" s="34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95A4-DE15-4FC2-90A7-452F4A3E48B0}">
  <sheetPr codeName="Sheet2">
    <tabColor indexed="25"/>
    <pageSetUpPr fitToPage="1"/>
  </sheetPr>
  <dimension ref="A1:AR64"/>
  <sheetViews>
    <sheetView tabSelected="1" zoomScale="70" zoomScaleNormal="70" workbookViewId="0">
      <pane xSplit="6" ySplit="6" topLeftCell="G7" activePane="bottomRight" state="frozen"/>
      <selection pane="topRight" activeCell="G1" sqref="G1"/>
      <selection pane="bottomLeft" activeCell="A7" sqref="A7"/>
      <selection pane="bottomRight" activeCell="M17" sqref="M17"/>
    </sheetView>
  </sheetViews>
  <sheetFormatPr defaultColWidth="0" defaultRowHeight="0" customHeight="1" zeroHeight="1"/>
  <cols>
    <col min="1" max="1" width="8.109375" style="549" customWidth="1"/>
    <col min="2" max="2" width="19.33203125" style="549" bestFit="1" customWidth="1"/>
    <col min="3" max="3" width="46.77734375" style="700" customWidth="1"/>
    <col min="4" max="4" width="21" style="699" customWidth="1"/>
    <col min="5" max="5" width="16.6640625" style="626" customWidth="1"/>
    <col min="6" max="6" width="13.21875" style="626" customWidth="1"/>
    <col min="7" max="7" width="12.109375" style="627" customWidth="1"/>
    <col min="8" max="8" width="17" style="732" customWidth="1"/>
    <col min="9" max="9" width="14.77734375" style="564" customWidth="1"/>
    <col min="10" max="10" width="14.6640625" style="628" customWidth="1"/>
    <col min="11" max="11" width="14.5546875" style="629" customWidth="1"/>
    <col min="12" max="12" width="17.109375" style="629" customWidth="1"/>
    <col min="13" max="13" width="19.5546875" style="628" customWidth="1"/>
    <col min="14" max="14" width="19" style="630" customWidth="1"/>
    <col min="15" max="15" width="10.77734375" style="631" customWidth="1"/>
    <col min="16" max="20" width="9.88671875" style="631" customWidth="1"/>
    <col min="21" max="21" width="19.33203125" style="156" customWidth="1"/>
    <col min="22" max="22" width="10.33203125" style="414" customWidth="1"/>
    <col min="23" max="23" width="13.21875" style="414" customWidth="1"/>
    <col min="24" max="25" width="19.33203125" style="156" customWidth="1"/>
    <col min="26" max="26" width="19.33203125" style="414" customWidth="1"/>
    <col min="27" max="28" width="17.33203125" style="632" customWidth="1"/>
    <col min="29" max="29" width="22.6640625" style="630" customWidth="1"/>
    <col min="30" max="30" width="19.33203125" style="332" customWidth="1"/>
    <col min="31" max="31" width="11.21875" style="417" customWidth="1"/>
    <col min="32" max="32" width="12.6640625" style="417" customWidth="1"/>
    <col min="33" max="33" width="19.33203125" style="157" customWidth="1"/>
    <col min="34" max="34" width="20.44140625" style="332" customWidth="1"/>
    <col min="35" max="35" width="20.109375" style="563" customWidth="1"/>
    <col min="36" max="36" width="22.21875" style="632" bestFit="1" customWidth="1"/>
    <col min="37" max="37" width="22" style="632" customWidth="1"/>
    <col min="38" max="38" width="17" style="565" customWidth="1"/>
    <col min="39" max="39" width="25.5546875" style="636" customWidth="1"/>
    <col min="40" max="40" width="9.33203125" style="549" customWidth="1"/>
    <col min="41" max="41" width="16.6640625" style="549" customWidth="1"/>
    <col min="42" max="42" width="17.44140625" style="549" customWidth="1"/>
    <col min="43" max="43" width="12.21875" style="549" customWidth="1"/>
    <col min="44" max="44" width="15.44140625" style="549" customWidth="1"/>
    <col min="45" max="47" width="15.33203125" style="549" customWidth="1"/>
    <col min="48" max="48" width="17" style="549" customWidth="1"/>
    <col min="49" max="49" width="0" style="549" hidden="1"/>
    <col min="50" max="51" width="15.5546875" style="549" customWidth="1"/>
    <col min="52" max="52" width="13.6640625" style="549" customWidth="1"/>
    <col min="53" max="53" width="9" style="549" customWidth="1"/>
    <col min="54" max="54" width="49.88671875" style="549" customWidth="1"/>
    <col min="55" max="55" width="0" style="549" hidden="1"/>
    <col min="56" max="57" width="15.88671875" style="549" customWidth="1"/>
    <col min="58" max="58" width="14.5546875" style="549" customWidth="1"/>
    <col min="59" max="59" width="16.33203125" style="549" customWidth="1"/>
    <col min="60" max="60" width="18.109375" style="549" customWidth="1"/>
    <col min="61" max="61" width="14.109375" style="549" customWidth="1"/>
    <col min="62" max="288" width="0" style="549" hidden="1"/>
    <col min="289" max="289" width="7.5546875" style="549" customWidth="1"/>
    <col min="290" max="290" width="36.77734375" style="549" customWidth="1"/>
    <col min="291" max="292" width="0" style="549" hidden="1"/>
    <col min="293" max="293" width="16.6640625" style="549" customWidth="1"/>
    <col min="294" max="294" width="17.33203125" style="549" customWidth="1"/>
    <col min="295" max="295" width="15.5546875" style="549" customWidth="1"/>
    <col min="296" max="296" width="0" style="549" hidden="1"/>
    <col min="297" max="297" width="16.6640625" style="549" customWidth="1"/>
    <col min="298" max="298" width="17.44140625" style="549" customWidth="1"/>
    <col min="299" max="300" width="0" style="549" hidden="1"/>
    <col min="301" max="303" width="15.33203125" style="549" customWidth="1"/>
    <col min="304" max="304" width="17" style="549" customWidth="1"/>
    <col min="305" max="305" width="0" style="549" hidden="1"/>
    <col min="306" max="307" width="15.5546875" style="549" customWidth="1"/>
    <col min="308" max="308" width="13.6640625" style="549" customWidth="1"/>
    <col min="309" max="309" width="9" style="549" customWidth="1"/>
    <col min="310" max="310" width="49.88671875" style="549" customWidth="1"/>
    <col min="311" max="311" width="0" style="549" hidden="1"/>
    <col min="312" max="313" width="15.88671875" style="549" customWidth="1"/>
    <col min="314" max="314" width="14.5546875" style="549" customWidth="1"/>
    <col min="315" max="315" width="16.33203125" style="549" customWidth="1"/>
    <col min="316" max="316" width="18.109375" style="549" customWidth="1"/>
    <col min="317" max="317" width="14.109375" style="549" customWidth="1"/>
    <col min="318" max="544" width="0" style="549" hidden="1"/>
    <col min="545" max="545" width="7.5546875" style="549" customWidth="1"/>
    <col min="546" max="546" width="36.77734375" style="549" customWidth="1"/>
    <col min="547" max="548" width="0" style="549" hidden="1"/>
    <col min="549" max="549" width="16.6640625" style="549" customWidth="1"/>
    <col min="550" max="550" width="17.33203125" style="549" customWidth="1"/>
    <col min="551" max="551" width="15.5546875" style="549" customWidth="1"/>
    <col min="552" max="552" width="0" style="549" hidden="1"/>
    <col min="553" max="553" width="16.6640625" style="549" customWidth="1"/>
    <col min="554" max="554" width="17.44140625" style="549" customWidth="1"/>
    <col min="555" max="556" width="0" style="549" hidden="1"/>
    <col min="557" max="559" width="15.33203125" style="549" customWidth="1"/>
    <col min="560" max="560" width="17" style="549" customWidth="1"/>
    <col min="561" max="561" width="0" style="549" hidden="1"/>
    <col min="562" max="563" width="15.5546875" style="549" customWidth="1"/>
    <col min="564" max="564" width="13.6640625" style="549" customWidth="1"/>
    <col min="565" max="565" width="9" style="549" customWidth="1"/>
    <col min="566" max="566" width="49.88671875" style="549" customWidth="1"/>
    <col min="567" max="567" width="0" style="549" hidden="1"/>
    <col min="568" max="569" width="15.88671875" style="549" customWidth="1"/>
    <col min="570" max="570" width="14.5546875" style="549" customWidth="1"/>
    <col min="571" max="571" width="16.33203125" style="549" customWidth="1"/>
    <col min="572" max="572" width="18.109375" style="549" customWidth="1"/>
    <col min="573" max="573" width="14.109375" style="549" customWidth="1"/>
    <col min="574" max="800" width="0" style="549" hidden="1"/>
    <col min="801" max="801" width="7.5546875" style="549" customWidth="1"/>
    <col min="802" max="802" width="36.77734375" style="549" customWidth="1"/>
    <col min="803" max="804" width="0" style="549" hidden="1"/>
    <col min="805" max="805" width="16.6640625" style="549" customWidth="1"/>
    <col min="806" max="806" width="17.33203125" style="549" customWidth="1"/>
    <col min="807" max="807" width="15.5546875" style="549" customWidth="1"/>
    <col min="808" max="808" width="0" style="549" hidden="1"/>
    <col min="809" max="809" width="16.6640625" style="549" customWidth="1"/>
    <col min="810" max="810" width="17.44140625" style="549" customWidth="1"/>
    <col min="811" max="812" width="0" style="549" hidden="1"/>
    <col min="813" max="815" width="15.33203125" style="549" customWidth="1"/>
    <col min="816" max="816" width="17" style="549" customWidth="1"/>
    <col min="817" max="817" width="0" style="549" hidden="1"/>
    <col min="818" max="819" width="15.5546875" style="549" customWidth="1"/>
    <col min="820" max="820" width="13.6640625" style="549" customWidth="1"/>
    <col min="821" max="821" width="9" style="549" customWidth="1"/>
    <col min="822" max="822" width="49.88671875" style="549" customWidth="1"/>
    <col min="823" max="823" width="0" style="549" hidden="1"/>
    <col min="824" max="825" width="15.88671875" style="549" customWidth="1"/>
    <col min="826" max="826" width="14.5546875" style="549" customWidth="1"/>
    <col min="827" max="827" width="16.33203125" style="549" customWidth="1"/>
    <col min="828" max="828" width="18.109375" style="549" customWidth="1"/>
    <col min="829" max="829" width="14.109375" style="549" customWidth="1"/>
    <col min="830" max="1056" width="0" style="549" hidden="1"/>
    <col min="1057" max="1057" width="7.5546875" style="549" customWidth="1"/>
    <col min="1058" max="1058" width="36.77734375" style="549" customWidth="1"/>
    <col min="1059" max="1060" width="0" style="549" hidden="1"/>
    <col min="1061" max="1061" width="16.6640625" style="549" customWidth="1"/>
    <col min="1062" max="1062" width="17.33203125" style="549" customWidth="1"/>
    <col min="1063" max="1063" width="15.5546875" style="549" customWidth="1"/>
    <col min="1064" max="1064" width="0" style="549" hidden="1"/>
    <col min="1065" max="1065" width="16.6640625" style="549" customWidth="1"/>
    <col min="1066" max="1066" width="17.44140625" style="549" customWidth="1"/>
    <col min="1067" max="1068" width="0" style="549" hidden="1"/>
    <col min="1069" max="1071" width="15.33203125" style="549" customWidth="1"/>
    <col min="1072" max="1072" width="17" style="549" customWidth="1"/>
    <col min="1073" max="1073" width="0" style="549" hidden="1"/>
    <col min="1074" max="1075" width="15.5546875" style="549" customWidth="1"/>
    <col min="1076" max="1076" width="13.6640625" style="549" customWidth="1"/>
    <col min="1077" max="1077" width="9" style="549" customWidth="1"/>
    <col min="1078" max="1078" width="49.88671875" style="549" customWidth="1"/>
    <col min="1079" max="1079" width="0" style="549" hidden="1"/>
    <col min="1080" max="1081" width="15.88671875" style="549" customWidth="1"/>
    <col min="1082" max="1082" width="14.5546875" style="549" customWidth="1"/>
    <col min="1083" max="1083" width="16.33203125" style="549" customWidth="1"/>
    <col min="1084" max="1084" width="18.109375" style="549" customWidth="1"/>
    <col min="1085" max="1085" width="14.109375" style="549" customWidth="1"/>
    <col min="1086" max="1312" width="0" style="549" hidden="1"/>
    <col min="1313" max="1313" width="7.5546875" style="549" customWidth="1"/>
    <col min="1314" max="1314" width="36.77734375" style="549" customWidth="1"/>
    <col min="1315" max="1316" width="0" style="549" hidden="1"/>
    <col min="1317" max="1317" width="16.6640625" style="549" customWidth="1"/>
    <col min="1318" max="1318" width="17.33203125" style="549" customWidth="1"/>
    <col min="1319" max="1319" width="15.5546875" style="549" customWidth="1"/>
    <col min="1320" max="1320" width="0" style="549" hidden="1"/>
    <col min="1321" max="1321" width="16.6640625" style="549" customWidth="1"/>
    <col min="1322" max="1322" width="17.44140625" style="549" customWidth="1"/>
    <col min="1323" max="1324" width="0" style="549" hidden="1"/>
    <col min="1325" max="1327" width="15.33203125" style="549" customWidth="1"/>
    <col min="1328" max="1328" width="17" style="549" customWidth="1"/>
    <col min="1329" max="1329" width="0" style="549" hidden="1"/>
    <col min="1330" max="1331" width="15.5546875" style="549" customWidth="1"/>
    <col min="1332" max="1332" width="13.6640625" style="549" customWidth="1"/>
    <col min="1333" max="1333" width="9" style="549" customWidth="1"/>
    <col min="1334" max="1334" width="49.88671875" style="549" customWidth="1"/>
    <col min="1335" max="1335" width="0" style="549" hidden="1"/>
    <col min="1336" max="1337" width="15.88671875" style="549" customWidth="1"/>
    <col min="1338" max="1338" width="14.5546875" style="549" customWidth="1"/>
    <col min="1339" max="1339" width="16.33203125" style="549" customWidth="1"/>
    <col min="1340" max="1340" width="18.109375" style="549" customWidth="1"/>
    <col min="1341" max="1341" width="14.109375" style="549" customWidth="1"/>
    <col min="1342" max="1568" width="0" style="549" hidden="1"/>
    <col min="1569" max="1569" width="7.5546875" style="549" customWidth="1"/>
    <col min="1570" max="1570" width="36.77734375" style="549" customWidth="1"/>
    <col min="1571" max="1572" width="0" style="549" hidden="1"/>
    <col min="1573" max="1573" width="16.6640625" style="549" customWidth="1"/>
    <col min="1574" max="1574" width="17.33203125" style="549" customWidth="1"/>
    <col min="1575" max="1575" width="15.5546875" style="549" customWidth="1"/>
    <col min="1576" max="1576" width="0" style="549" hidden="1"/>
    <col min="1577" max="1577" width="16.6640625" style="549" customWidth="1"/>
    <col min="1578" max="1578" width="17.44140625" style="549" customWidth="1"/>
    <col min="1579" max="1580" width="0" style="549" hidden="1"/>
    <col min="1581" max="1583" width="15.33203125" style="549" customWidth="1"/>
    <col min="1584" max="1584" width="17" style="549" customWidth="1"/>
    <col min="1585" max="1585" width="0" style="549" hidden="1"/>
    <col min="1586" max="1587" width="15.5546875" style="549" customWidth="1"/>
    <col min="1588" max="1588" width="13.6640625" style="549" customWidth="1"/>
    <col min="1589" max="1589" width="9" style="549" customWidth="1"/>
    <col min="1590" max="1590" width="49.88671875" style="549" customWidth="1"/>
    <col min="1591" max="1591" width="0" style="549" hidden="1"/>
    <col min="1592" max="1593" width="15.88671875" style="549" customWidth="1"/>
    <col min="1594" max="1594" width="14.5546875" style="549" customWidth="1"/>
    <col min="1595" max="1595" width="16.33203125" style="549" customWidth="1"/>
    <col min="1596" max="1596" width="18.109375" style="549" customWidth="1"/>
    <col min="1597" max="1597" width="14.109375" style="549" customWidth="1"/>
    <col min="1598" max="1824" width="0" style="549" hidden="1"/>
    <col min="1825" max="1825" width="7.5546875" style="549" customWidth="1"/>
    <col min="1826" max="1826" width="36.77734375" style="549" customWidth="1"/>
    <col min="1827" max="1828" width="0" style="549" hidden="1"/>
    <col min="1829" max="1829" width="16.6640625" style="549" customWidth="1"/>
    <col min="1830" max="1830" width="17.33203125" style="549" customWidth="1"/>
    <col min="1831" max="1831" width="15.5546875" style="549" customWidth="1"/>
    <col min="1832" max="1832" width="0" style="549" hidden="1"/>
    <col min="1833" max="1833" width="16.6640625" style="549" customWidth="1"/>
    <col min="1834" max="1834" width="17.44140625" style="549" customWidth="1"/>
    <col min="1835" max="1836" width="0" style="549" hidden="1"/>
    <col min="1837" max="1839" width="15.33203125" style="549" customWidth="1"/>
    <col min="1840" max="1840" width="17" style="549" customWidth="1"/>
    <col min="1841" max="1841" width="0" style="549" hidden="1"/>
    <col min="1842" max="1843" width="15.5546875" style="549" customWidth="1"/>
    <col min="1844" max="1844" width="13.6640625" style="549" customWidth="1"/>
    <col min="1845" max="1845" width="9" style="549" customWidth="1"/>
    <col min="1846" max="1846" width="49.88671875" style="549" customWidth="1"/>
    <col min="1847" max="1847" width="0" style="549" hidden="1"/>
    <col min="1848" max="1849" width="15.88671875" style="549" customWidth="1"/>
    <col min="1850" max="1850" width="14.5546875" style="549" customWidth="1"/>
    <col min="1851" max="1851" width="16.33203125" style="549" customWidth="1"/>
    <col min="1852" max="1852" width="18.109375" style="549" customWidth="1"/>
    <col min="1853" max="1853" width="14.109375" style="549" customWidth="1"/>
    <col min="1854" max="2080" width="0" style="549" hidden="1"/>
    <col min="2081" max="2081" width="7.5546875" style="549" customWidth="1"/>
    <col min="2082" max="2082" width="36.77734375" style="549" customWidth="1"/>
    <col min="2083" max="2084" width="0" style="549" hidden="1"/>
    <col min="2085" max="2085" width="16.6640625" style="549" customWidth="1"/>
    <col min="2086" max="2086" width="17.33203125" style="549" customWidth="1"/>
    <col min="2087" max="2087" width="15.5546875" style="549" customWidth="1"/>
    <col min="2088" max="2088" width="0" style="549" hidden="1"/>
    <col min="2089" max="2089" width="16.6640625" style="549" customWidth="1"/>
    <col min="2090" max="2090" width="17.44140625" style="549" customWidth="1"/>
    <col min="2091" max="2092" width="0" style="549" hidden="1"/>
    <col min="2093" max="2095" width="15.33203125" style="549" customWidth="1"/>
    <col min="2096" max="2096" width="17" style="549" customWidth="1"/>
    <col min="2097" max="2097" width="0" style="549" hidden="1"/>
    <col min="2098" max="2099" width="15.5546875" style="549" customWidth="1"/>
    <col min="2100" max="2100" width="13.6640625" style="549" customWidth="1"/>
    <col min="2101" max="2101" width="9" style="549" customWidth="1"/>
    <col min="2102" max="2102" width="49.88671875" style="549" customWidth="1"/>
    <col min="2103" max="2103" width="0" style="549" hidden="1"/>
    <col min="2104" max="2105" width="15.88671875" style="549" customWidth="1"/>
    <col min="2106" max="2106" width="14.5546875" style="549" customWidth="1"/>
    <col min="2107" max="2107" width="16.33203125" style="549" customWidth="1"/>
    <col min="2108" max="2108" width="18.109375" style="549" customWidth="1"/>
    <col min="2109" max="2109" width="14.109375" style="549" customWidth="1"/>
    <col min="2110" max="2336" width="0" style="549" hidden="1"/>
    <col min="2337" max="2337" width="7.5546875" style="549" customWidth="1"/>
    <col min="2338" max="2338" width="36.77734375" style="549" customWidth="1"/>
    <col min="2339" max="2340" width="0" style="549" hidden="1"/>
    <col min="2341" max="2341" width="16.6640625" style="549" customWidth="1"/>
    <col min="2342" max="2342" width="17.33203125" style="549" customWidth="1"/>
    <col min="2343" max="2343" width="15.5546875" style="549" customWidth="1"/>
    <col min="2344" max="2344" width="0" style="549" hidden="1"/>
    <col min="2345" max="2345" width="16.6640625" style="549" customWidth="1"/>
    <col min="2346" max="2346" width="17.44140625" style="549" customWidth="1"/>
    <col min="2347" max="2348" width="0" style="549" hidden="1"/>
    <col min="2349" max="2351" width="15.33203125" style="549" customWidth="1"/>
    <col min="2352" max="2352" width="17" style="549" customWidth="1"/>
    <col min="2353" max="2353" width="0" style="549" hidden="1"/>
    <col min="2354" max="2355" width="15.5546875" style="549" customWidth="1"/>
    <col min="2356" max="2356" width="13.6640625" style="549" customWidth="1"/>
    <col min="2357" max="2357" width="9" style="549" customWidth="1"/>
    <col min="2358" max="2358" width="49.88671875" style="549" customWidth="1"/>
    <col min="2359" max="2359" width="0" style="549" hidden="1"/>
    <col min="2360" max="2361" width="15.88671875" style="549" customWidth="1"/>
    <col min="2362" max="2362" width="14.5546875" style="549" customWidth="1"/>
    <col min="2363" max="2363" width="16.33203125" style="549" customWidth="1"/>
    <col min="2364" max="2364" width="18.109375" style="549" customWidth="1"/>
    <col min="2365" max="2365" width="14.109375" style="549" customWidth="1"/>
    <col min="2366" max="2592" width="0" style="549" hidden="1"/>
    <col min="2593" max="2593" width="7.5546875" style="549" customWidth="1"/>
    <col min="2594" max="2594" width="36.77734375" style="549" customWidth="1"/>
    <col min="2595" max="2596" width="0" style="549" hidden="1"/>
    <col min="2597" max="2597" width="16.6640625" style="549" customWidth="1"/>
    <col min="2598" max="2598" width="17.33203125" style="549" customWidth="1"/>
    <col min="2599" max="2599" width="15.5546875" style="549" customWidth="1"/>
    <col min="2600" max="2600" width="0" style="549" hidden="1"/>
    <col min="2601" max="2601" width="16.6640625" style="549" customWidth="1"/>
    <col min="2602" max="2602" width="17.44140625" style="549" customWidth="1"/>
    <col min="2603" max="2604" width="0" style="549" hidden="1"/>
    <col min="2605" max="2607" width="15.33203125" style="549" customWidth="1"/>
    <col min="2608" max="2608" width="17" style="549" customWidth="1"/>
    <col min="2609" max="2609" width="0" style="549" hidden="1"/>
    <col min="2610" max="2611" width="15.5546875" style="549" customWidth="1"/>
    <col min="2612" max="2612" width="13.6640625" style="549" customWidth="1"/>
    <col min="2613" max="2613" width="9" style="549" customWidth="1"/>
    <col min="2614" max="2614" width="49.88671875" style="549" customWidth="1"/>
    <col min="2615" max="2615" width="0" style="549" hidden="1"/>
    <col min="2616" max="2617" width="15.88671875" style="549" customWidth="1"/>
    <col min="2618" max="2618" width="14.5546875" style="549" customWidth="1"/>
    <col min="2619" max="2619" width="16.33203125" style="549" customWidth="1"/>
    <col min="2620" max="2620" width="18.109375" style="549" customWidth="1"/>
    <col min="2621" max="2621" width="14.109375" style="549" customWidth="1"/>
    <col min="2622" max="2848" width="0" style="549" hidden="1"/>
    <col min="2849" max="2849" width="7.5546875" style="549" customWidth="1"/>
    <col min="2850" max="2850" width="36.77734375" style="549" customWidth="1"/>
    <col min="2851" max="2852" width="0" style="549" hidden="1"/>
    <col min="2853" max="2853" width="16.6640625" style="549" customWidth="1"/>
    <col min="2854" max="2854" width="17.33203125" style="549" customWidth="1"/>
    <col min="2855" max="2855" width="15.5546875" style="549" customWidth="1"/>
    <col min="2856" max="2856" width="0" style="549" hidden="1"/>
    <col min="2857" max="2857" width="16.6640625" style="549" customWidth="1"/>
    <col min="2858" max="2858" width="17.44140625" style="549" customWidth="1"/>
    <col min="2859" max="2860" width="0" style="549" hidden="1"/>
    <col min="2861" max="2863" width="15.33203125" style="549" customWidth="1"/>
    <col min="2864" max="2864" width="17" style="549" customWidth="1"/>
    <col min="2865" max="2865" width="0" style="549" hidden="1"/>
    <col min="2866" max="2867" width="15.5546875" style="549" customWidth="1"/>
    <col min="2868" max="2868" width="13.6640625" style="549" customWidth="1"/>
    <col min="2869" max="2869" width="9" style="549" customWidth="1"/>
    <col min="2870" max="2870" width="49.88671875" style="549" customWidth="1"/>
    <col min="2871" max="2871" width="0" style="549" hidden="1"/>
    <col min="2872" max="2873" width="15.88671875" style="549" customWidth="1"/>
    <col min="2874" max="2874" width="14.5546875" style="549" customWidth="1"/>
    <col min="2875" max="2875" width="16.33203125" style="549" customWidth="1"/>
    <col min="2876" max="2876" width="18.109375" style="549" customWidth="1"/>
    <col min="2877" max="2877" width="14.109375" style="549" customWidth="1"/>
    <col min="2878" max="3104" width="0" style="549" hidden="1"/>
    <col min="3105" max="3105" width="7.5546875" style="549" customWidth="1"/>
    <col min="3106" max="3106" width="36.77734375" style="549" customWidth="1"/>
    <col min="3107" max="3108" width="0" style="549" hidden="1"/>
    <col min="3109" max="3109" width="16.6640625" style="549" customWidth="1"/>
    <col min="3110" max="3110" width="17.33203125" style="549" customWidth="1"/>
    <col min="3111" max="3111" width="15.5546875" style="549" customWidth="1"/>
    <col min="3112" max="3112" width="0" style="549" hidden="1"/>
    <col min="3113" max="3113" width="16.6640625" style="549" customWidth="1"/>
    <col min="3114" max="3114" width="17.44140625" style="549" customWidth="1"/>
    <col min="3115" max="3116" width="0" style="549" hidden="1"/>
    <col min="3117" max="3119" width="15.33203125" style="549" customWidth="1"/>
    <col min="3120" max="3120" width="17" style="549" customWidth="1"/>
    <col min="3121" max="3121" width="0" style="549" hidden="1"/>
    <col min="3122" max="3123" width="15.5546875" style="549" customWidth="1"/>
    <col min="3124" max="3124" width="13.6640625" style="549" customWidth="1"/>
    <col min="3125" max="3125" width="9" style="549" customWidth="1"/>
    <col min="3126" max="3126" width="49.88671875" style="549" customWidth="1"/>
    <col min="3127" max="3127" width="0" style="549" hidden="1"/>
    <col min="3128" max="3129" width="15.88671875" style="549" customWidth="1"/>
    <col min="3130" max="3130" width="14.5546875" style="549" customWidth="1"/>
    <col min="3131" max="3131" width="16.33203125" style="549" customWidth="1"/>
    <col min="3132" max="3132" width="18.109375" style="549" customWidth="1"/>
    <col min="3133" max="3133" width="14.109375" style="549" customWidth="1"/>
    <col min="3134" max="3360" width="0" style="549" hidden="1"/>
    <col min="3361" max="3361" width="7.5546875" style="549" customWidth="1"/>
    <col min="3362" max="3362" width="36.77734375" style="549" customWidth="1"/>
    <col min="3363" max="3364" width="0" style="549" hidden="1"/>
    <col min="3365" max="3365" width="16.6640625" style="549" customWidth="1"/>
    <col min="3366" max="3366" width="17.33203125" style="549" customWidth="1"/>
    <col min="3367" max="3367" width="15.5546875" style="549" customWidth="1"/>
    <col min="3368" max="3368" width="0" style="549" hidden="1"/>
    <col min="3369" max="3369" width="16.6640625" style="549" customWidth="1"/>
    <col min="3370" max="3370" width="17.44140625" style="549" customWidth="1"/>
    <col min="3371" max="3372" width="0" style="549" hidden="1"/>
    <col min="3373" max="3375" width="15.33203125" style="549" customWidth="1"/>
    <col min="3376" max="3376" width="17" style="549" customWidth="1"/>
    <col min="3377" max="3377" width="0" style="549" hidden="1"/>
    <col min="3378" max="3379" width="15.5546875" style="549" customWidth="1"/>
    <col min="3380" max="3380" width="13.6640625" style="549" customWidth="1"/>
    <col min="3381" max="3381" width="9" style="549" customWidth="1"/>
    <col min="3382" max="3382" width="49.88671875" style="549" customWidth="1"/>
    <col min="3383" max="3383" width="0" style="549" hidden="1"/>
    <col min="3384" max="3385" width="15.88671875" style="549" customWidth="1"/>
    <col min="3386" max="3386" width="14.5546875" style="549" customWidth="1"/>
    <col min="3387" max="3387" width="16.33203125" style="549" customWidth="1"/>
    <col min="3388" max="3388" width="18.109375" style="549" customWidth="1"/>
    <col min="3389" max="3389" width="14.109375" style="549" customWidth="1"/>
    <col min="3390" max="3616" width="0" style="549" hidden="1"/>
    <col min="3617" max="3617" width="7.5546875" style="549" customWidth="1"/>
    <col min="3618" max="3618" width="36.77734375" style="549" customWidth="1"/>
    <col min="3619" max="3620" width="0" style="549" hidden="1"/>
    <col min="3621" max="3621" width="16.6640625" style="549" customWidth="1"/>
    <col min="3622" max="3622" width="17.33203125" style="549" customWidth="1"/>
    <col min="3623" max="3623" width="15.5546875" style="549" customWidth="1"/>
    <col min="3624" max="3624" width="0" style="549" hidden="1"/>
    <col min="3625" max="3625" width="16.6640625" style="549" customWidth="1"/>
    <col min="3626" max="3626" width="17.44140625" style="549" customWidth="1"/>
    <col min="3627" max="3628" width="0" style="549" hidden="1"/>
    <col min="3629" max="3631" width="15.33203125" style="549" customWidth="1"/>
    <col min="3632" max="3632" width="17" style="549" customWidth="1"/>
    <col min="3633" max="3633" width="0" style="549" hidden="1"/>
    <col min="3634" max="3635" width="15.5546875" style="549" customWidth="1"/>
    <col min="3636" max="3636" width="13.6640625" style="549" customWidth="1"/>
    <col min="3637" max="3637" width="9" style="549" customWidth="1"/>
    <col min="3638" max="3638" width="49.88671875" style="549" customWidth="1"/>
    <col min="3639" max="3639" width="0" style="549" hidden="1"/>
    <col min="3640" max="3641" width="15.88671875" style="549" customWidth="1"/>
    <col min="3642" max="3642" width="14.5546875" style="549" customWidth="1"/>
    <col min="3643" max="3643" width="16.33203125" style="549" customWidth="1"/>
    <col min="3644" max="3644" width="18.109375" style="549" customWidth="1"/>
    <col min="3645" max="3645" width="14.109375" style="549" customWidth="1"/>
    <col min="3646" max="3872" width="0" style="549" hidden="1"/>
    <col min="3873" max="3873" width="7.5546875" style="549" customWidth="1"/>
    <col min="3874" max="3874" width="36.77734375" style="549" customWidth="1"/>
    <col min="3875" max="3876" width="0" style="549" hidden="1"/>
    <col min="3877" max="3877" width="16.6640625" style="549" customWidth="1"/>
    <col min="3878" max="3878" width="17.33203125" style="549" customWidth="1"/>
    <col min="3879" max="3879" width="15.5546875" style="549" customWidth="1"/>
    <col min="3880" max="3880" width="0" style="549" hidden="1"/>
    <col min="3881" max="3881" width="16.6640625" style="549" customWidth="1"/>
    <col min="3882" max="3882" width="17.44140625" style="549" customWidth="1"/>
    <col min="3883" max="3884" width="0" style="549" hidden="1"/>
    <col min="3885" max="3887" width="15.33203125" style="549" customWidth="1"/>
    <col min="3888" max="3888" width="17" style="549" customWidth="1"/>
    <col min="3889" max="3889" width="0" style="549" hidden="1"/>
    <col min="3890" max="3891" width="15.5546875" style="549" customWidth="1"/>
    <col min="3892" max="3892" width="13.6640625" style="549" customWidth="1"/>
    <col min="3893" max="3893" width="9" style="549" customWidth="1"/>
    <col min="3894" max="3894" width="49.88671875" style="549" customWidth="1"/>
    <col min="3895" max="3895" width="0" style="549" hidden="1"/>
    <col min="3896" max="3897" width="15.88671875" style="549" customWidth="1"/>
    <col min="3898" max="3898" width="14.5546875" style="549" customWidth="1"/>
    <col min="3899" max="3899" width="16.33203125" style="549" customWidth="1"/>
    <col min="3900" max="3900" width="18.109375" style="549" customWidth="1"/>
    <col min="3901" max="3901" width="14.109375" style="549" customWidth="1"/>
    <col min="3902" max="4128" width="0" style="549" hidden="1"/>
    <col min="4129" max="4129" width="7.5546875" style="549" customWidth="1"/>
    <col min="4130" max="4130" width="36.77734375" style="549" customWidth="1"/>
    <col min="4131" max="4132" width="0" style="549" hidden="1"/>
    <col min="4133" max="4133" width="16.6640625" style="549" customWidth="1"/>
    <col min="4134" max="4134" width="17.33203125" style="549" customWidth="1"/>
    <col min="4135" max="4135" width="15.5546875" style="549" customWidth="1"/>
    <col min="4136" max="4136" width="0" style="549" hidden="1"/>
    <col min="4137" max="4137" width="16.6640625" style="549" customWidth="1"/>
    <col min="4138" max="4138" width="17.44140625" style="549" customWidth="1"/>
    <col min="4139" max="4140" width="0" style="549" hidden="1"/>
    <col min="4141" max="4143" width="15.33203125" style="549" customWidth="1"/>
    <col min="4144" max="4144" width="17" style="549" customWidth="1"/>
    <col min="4145" max="4145" width="0" style="549" hidden="1"/>
    <col min="4146" max="4147" width="15.5546875" style="549" customWidth="1"/>
    <col min="4148" max="4148" width="13.6640625" style="549" customWidth="1"/>
    <col min="4149" max="4149" width="9" style="549" customWidth="1"/>
    <col min="4150" max="4150" width="49.88671875" style="549" customWidth="1"/>
    <col min="4151" max="4151" width="0" style="549" hidden="1"/>
    <col min="4152" max="4153" width="15.88671875" style="549" customWidth="1"/>
    <col min="4154" max="4154" width="14.5546875" style="549" customWidth="1"/>
    <col min="4155" max="4155" width="16.33203125" style="549" customWidth="1"/>
    <col min="4156" max="4156" width="18.109375" style="549" customWidth="1"/>
    <col min="4157" max="4157" width="14.109375" style="549" customWidth="1"/>
    <col min="4158" max="4384" width="0" style="549" hidden="1"/>
    <col min="4385" max="4385" width="7.5546875" style="549" customWidth="1"/>
    <col min="4386" max="4386" width="36.77734375" style="549" customWidth="1"/>
    <col min="4387" max="4388" width="0" style="549" hidden="1"/>
    <col min="4389" max="4389" width="16.6640625" style="549" customWidth="1"/>
    <col min="4390" max="4390" width="17.33203125" style="549" customWidth="1"/>
    <col min="4391" max="4391" width="15.5546875" style="549" customWidth="1"/>
    <col min="4392" max="4392" width="0" style="549" hidden="1"/>
    <col min="4393" max="4393" width="16.6640625" style="549" customWidth="1"/>
    <col min="4394" max="4394" width="17.44140625" style="549" customWidth="1"/>
    <col min="4395" max="4396" width="0" style="549" hidden="1"/>
    <col min="4397" max="4399" width="15.33203125" style="549" customWidth="1"/>
    <col min="4400" max="4400" width="17" style="549" customWidth="1"/>
    <col min="4401" max="4401" width="0" style="549" hidden="1"/>
    <col min="4402" max="4403" width="15.5546875" style="549" customWidth="1"/>
    <col min="4404" max="4404" width="13.6640625" style="549" customWidth="1"/>
    <col min="4405" max="4405" width="9" style="549" customWidth="1"/>
    <col min="4406" max="4406" width="49.88671875" style="549" customWidth="1"/>
    <col min="4407" max="4407" width="0" style="549" hidden="1"/>
    <col min="4408" max="4409" width="15.88671875" style="549" customWidth="1"/>
    <col min="4410" max="4410" width="14.5546875" style="549" customWidth="1"/>
    <col min="4411" max="4411" width="16.33203125" style="549" customWidth="1"/>
    <col min="4412" max="4412" width="18.109375" style="549" customWidth="1"/>
    <col min="4413" max="4413" width="14.109375" style="549" customWidth="1"/>
    <col min="4414" max="4640" width="0" style="549" hidden="1"/>
    <col min="4641" max="4641" width="7.5546875" style="549" customWidth="1"/>
    <col min="4642" max="4642" width="36.77734375" style="549" customWidth="1"/>
    <col min="4643" max="4644" width="0" style="549" hidden="1"/>
    <col min="4645" max="4645" width="16.6640625" style="549" customWidth="1"/>
    <col min="4646" max="4646" width="17.33203125" style="549" customWidth="1"/>
    <col min="4647" max="4647" width="15.5546875" style="549" customWidth="1"/>
    <col min="4648" max="4648" width="0" style="549" hidden="1"/>
    <col min="4649" max="4649" width="16.6640625" style="549" customWidth="1"/>
    <col min="4650" max="4650" width="17.44140625" style="549" customWidth="1"/>
    <col min="4651" max="4652" width="0" style="549" hidden="1"/>
    <col min="4653" max="4655" width="15.33203125" style="549" customWidth="1"/>
    <col min="4656" max="4656" width="17" style="549" customWidth="1"/>
    <col min="4657" max="4657" width="0" style="549" hidden="1"/>
    <col min="4658" max="4659" width="15.5546875" style="549" customWidth="1"/>
    <col min="4660" max="4660" width="13.6640625" style="549" customWidth="1"/>
    <col min="4661" max="4661" width="9" style="549" customWidth="1"/>
    <col min="4662" max="4662" width="49.88671875" style="549" customWidth="1"/>
    <col min="4663" max="4663" width="0" style="549" hidden="1"/>
    <col min="4664" max="4665" width="15.88671875" style="549" customWidth="1"/>
    <col min="4666" max="4666" width="14.5546875" style="549" customWidth="1"/>
    <col min="4667" max="4667" width="16.33203125" style="549" customWidth="1"/>
    <col min="4668" max="4668" width="18.109375" style="549" customWidth="1"/>
    <col min="4669" max="4669" width="14.109375" style="549" customWidth="1"/>
    <col min="4670" max="4896" width="0" style="549" hidden="1"/>
    <col min="4897" max="4897" width="7.5546875" style="549" customWidth="1"/>
    <col min="4898" max="4898" width="36.77734375" style="549" customWidth="1"/>
    <col min="4899" max="4900" width="0" style="549" hidden="1"/>
    <col min="4901" max="4901" width="16.6640625" style="549" customWidth="1"/>
    <col min="4902" max="4902" width="17.33203125" style="549" customWidth="1"/>
    <col min="4903" max="4903" width="15.5546875" style="549" customWidth="1"/>
    <col min="4904" max="4904" width="0" style="549" hidden="1"/>
    <col min="4905" max="4905" width="16.6640625" style="549" customWidth="1"/>
    <col min="4906" max="4906" width="17.44140625" style="549" customWidth="1"/>
    <col min="4907" max="4908" width="0" style="549" hidden="1"/>
    <col min="4909" max="4911" width="15.33203125" style="549" customWidth="1"/>
    <col min="4912" max="4912" width="17" style="549" customWidth="1"/>
    <col min="4913" max="4913" width="0" style="549" hidden="1"/>
    <col min="4914" max="4915" width="15.5546875" style="549" customWidth="1"/>
    <col min="4916" max="4916" width="13.6640625" style="549" customWidth="1"/>
    <col min="4917" max="4917" width="9" style="549" customWidth="1"/>
    <col min="4918" max="4918" width="49.88671875" style="549" customWidth="1"/>
    <col min="4919" max="4919" width="0" style="549" hidden="1"/>
    <col min="4920" max="4921" width="15.88671875" style="549" customWidth="1"/>
    <col min="4922" max="4922" width="14.5546875" style="549" customWidth="1"/>
    <col min="4923" max="4923" width="16.33203125" style="549" customWidth="1"/>
    <col min="4924" max="4924" width="18.109375" style="549" customWidth="1"/>
    <col min="4925" max="4925" width="14.109375" style="549" customWidth="1"/>
    <col min="4926" max="5152" width="0" style="549" hidden="1"/>
    <col min="5153" max="5153" width="7.5546875" style="549" customWidth="1"/>
    <col min="5154" max="5154" width="36.77734375" style="549" customWidth="1"/>
    <col min="5155" max="5156" width="0" style="549" hidden="1"/>
    <col min="5157" max="5157" width="16.6640625" style="549" customWidth="1"/>
    <col min="5158" max="5158" width="17.33203125" style="549" customWidth="1"/>
    <col min="5159" max="5159" width="15.5546875" style="549" customWidth="1"/>
    <col min="5160" max="5160" width="0" style="549" hidden="1"/>
    <col min="5161" max="5161" width="16.6640625" style="549" customWidth="1"/>
    <col min="5162" max="5162" width="17.44140625" style="549" customWidth="1"/>
    <col min="5163" max="5164" width="0" style="549" hidden="1"/>
    <col min="5165" max="5167" width="15.33203125" style="549" customWidth="1"/>
    <col min="5168" max="5168" width="17" style="549" customWidth="1"/>
    <col min="5169" max="5169" width="0" style="549" hidden="1"/>
    <col min="5170" max="5171" width="15.5546875" style="549" customWidth="1"/>
    <col min="5172" max="5172" width="13.6640625" style="549" customWidth="1"/>
    <col min="5173" max="5173" width="9" style="549" customWidth="1"/>
    <col min="5174" max="5174" width="49.88671875" style="549" customWidth="1"/>
    <col min="5175" max="5175" width="0" style="549" hidden="1"/>
    <col min="5176" max="5177" width="15.88671875" style="549" customWidth="1"/>
    <col min="5178" max="5178" width="14.5546875" style="549" customWidth="1"/>
    <col min="5179" max="5179" width="16.33203125" style="549" customWidth="1"/>
    <col min="5180" max="5180" width="18.109375" style="549" customWidth="1"/>
    <col min="5181" max="5181" width="14.109375" style="549" customWidth="1"/>
    <col min="5182" max="5408" width="0" style="549" hidden="1"/>
    <col min="5409" max="5409" width="7.5546875" style="549" customWidth="1"/>
    <col min="5410" max="5410" width="36.77734375" style="549" customWidth="1"/>
    <col min="5411" max="5412" width="0" style="549" hidden="1"/>
    <col min="5413" max="5413" width="16.6640625" style="549" customWidth="1"/>
    <col min="5414" max="5414" width="17.33203125" style="549" customWidth="1"/>
    <col min="5415" max="5415" width="15.5546875" style="549" customWidth="1"/>
    <col min="5416" max="5416" width="0" style="549" hidden="1"/>
    <col min="5417" max="5417" width="16.6640625" style="549" customWidth="1"/>
    <col min="5418" max="5418" width="17.44140625" style="549" customWidth="1"/>
    <col min="5419" max="5420" width="0" style="549" hidden="1"/>
    <col min="5421" max="5423" width="15.33203125" style="549" customWidth="1"/>
    <col min="5424" max="5424" width="17" style="549" customWidth="1"/>
    <col min="5425" max="5425" width="0" style="549" hidden="1"/>
    <col min="5426" max="5427" width="15.5546875" style="549" customWidth="1"/>
    <col min="5428" max="5428" width="13.6640625" style="549" customWidth="1"/>
    <col min="5429" max="5429" width="9" style="549" customWidth="1"/>
    <col min="5430" max="5430" width="49.88671875" style="549" customWidth="1"/>
    <col min="5431" max="5431" width="0" style="549" hidden="1"/>
    <col min="5432" max="5433" width="15.88671875" style="549" customWidth="1"/>
    <col min="5434" max="5434" width="14.5546875" style="549" customWidth="1"/>
    <col min="5435" max="5435" width="16.33203125" style="549" customWidth="1"/>
    <col min="5436" max="5436" width="18.109375" style="549" customWidth="1"/>
    <col min="5437" max="5437" width="14.109375" style="549" customWidth="1"/>
    <col min="5438" max="5664" width="0" style="549" hidden="1"/>
    <col min="5665" max="5665" width="7.5546875" style="549" customWidth="1"/>
    <col min="5666" max="5666" width="36.77734375" style="549" customWidth="1"/>
    <col min="5667" max="5668" width="0" style="549" hidden="1"/>
    <col min="5669" max="5669" width="16.6640625" style="549" customWidth="1"/>
    <col min="5670" max="5670" width="17.33203125" style="549" customWidth="1"/>
    <col min="5671" max="5671" width="15.5546875" style="549" customWidth="1"/>
    <col min="5672" max="5672" width="0" style="549" hidden="1"/>
    <col min="5673" max="5673" width="16.6640625" style="549" customWidth="1"/>
    <col min="5674" max="5674" width="17.44140625" style="549" customWidth="1"/>
    <col min="5675" max="5676" width="0" style="549" hidden="1"/>
    <col min="5677" max="5679" width="15.33203125" style="549" customWidth="1"/>
    <col min="5680" max="5680" width="17" style="549" customWidth="1"/>
    <col min="5681" max="5681" width="0" style="549" hidden="1"/>
    <col min="5682" max="5683" width="15.5546875" style="549" customWidth="1"/>
    <col min="5684" max="5684" width="13.6640625" style="549" customWidth="1"/>
    <col min="5685" max="5685" width="9" style="549" customWidth="1"/>
    <col min="5686" max="5686" width="49.88671875" style="549" customWidth="1"/>
    <col min="5687" max="5687" width="0" style="549" hidden="1"/>
    <col min="5688" max="5689" width="15.88671875" style="549" customWidth="1"/>
    <col min="5690" max="5690" width="14.5546875" style="549" customWidth="1"/>
    <col min="5691" max="5691" width="16.33203125" style="549" customWidth="1"/>
    <col min="5692" max="5692" width="18.109375" style="549" customWidth="1"/>
    <col min="5693" max="5693" width="14.109375" style="549" customWidth="1"/>
    <col min="5694" max="5920" width="0" style="549" hidden="1"/>
    <col min="5921" max="5921" width="7.5546875" style="549" customWidth="1"/>
    <col min="5922" max="5922" width="36.77734375" style="549" customWidth="1"/>
    <col min="5923" max="5924" width="0" style="549" hidden="1"/>
    <col min="5925" max="5925" width="16.6640625" style="549" customWidth="1"/>
    <col min="5926" max="5926" width="17.33203125" style="549" customWidth="1"/>
    <col min="5927" max="5927" width="15.5546875" style="549" customWidth="1"/>
    <col min="5928" max="5928" width="0" style="549" hidden="1"/>
    <col min="5929" max="5929" width="16.6640625" style="549" customWidth="1"/>
    <col min="5930" max="5930" width="17.44140625" style="549" customWidth="1"/>
    <col min="5931" max="5932" width="0" style="549" hidden="1"/>
    <col min="5933" max="5935" width="15.33203125" style="549" customWidth="1"/>
    <col min="5936" max="5936" width="17" style="549" customWidth="1"/>
    <col min="5937" max="5937" width="0" style="549" hidden="1"/>
    <col min="5938" max="5939" width="15.5546875" style="549" customWidth="1"/>
    <col min="5940" max="5940" width="13.6640625" style="549" customWidth="1"/>
    <col min="5941" max="5941" width="9" style="549" customWidth="1"/>
    <col min="5942" max="5942" width="49.88671875" style="549" customWidth="1"/>
    <col min="5943" max="5943" width="0" style="549" hidden="1"/>
    <col min="5944" max="5945" width="15.88671875" style="549" customWidth="1"/>
    <col min="5946" max="5946" width="14.5546875" style="549" customWidth="1"/>
    <col min="5947" max="5947" width="16.33203125" style="549" customWidth="1"/>
    <col min="5948" max="5948" width="18.109375" style="549" customWidth="1"/>
    <col min="5949" max="5949" width="14.109375" style="549" customWidth="1"/>
    <col min="5950" max="6176" width="0" style="549" hidden="1"/>
    <col min="6177" max="6177" width="7.5546875" style="549" customWidth="1"/>
    <col min="6178" max="6178" width="36.77734375" style="549" customWidth="1"/>
    <col min="6179" max="6180" width="0" style="549" hidden="1"/>
    <col min="6181" max="6181" width="16.6640625" style="549" customWidth="1"/>
    <col min="6182" max="6182" width="17.33203125" style="549" customWidth="1"/>
    <col min="6183" max="6183" width="15.5546875" style="549" customWidth="1"/>
    <col min="6184" max="6184" width="0" style="549" hidden="1"/>
    <col min="6185" max="6185" width="16.6640625" style="549" customWidth="1"/>
    <col min="6186" max="6186" width="17.44140625" style="549" customWidth="1"/>
    <col min="6187" max="6188" width="0" style="549" hidden="1"/>
    <col min="6189" max="6191" width="15.33203125" style="549" customWidth="1"/>
    <col min="6192" max="6192" width="17" style="549" customWidth="1"/>
    <col min="6193" max="6193" width="0" style="549" hidden="1"/>
    <col min="6194" max="6195" width="15.5546875" style="549" customWidth="1"/>
    <col min="6196" max="6196" width="13.6640625" style="549" customWidth="1"/>
    <col min="6197" max="6197" width="9" style="549" customWidth="1"/>
    <col min="6198" max="6198" width="49.88671875" style="549" customWidth="1"/>
    <col min="6199" max="6199" width="0" style="549" hidden="1"/>
    <col min="6200" max="6201" width="15.88671875" style="549" customWidth="1"/>
    <col min="6202" max="6202" width="14.5546875" style="549" customWidth="1"/>
    <col min="6203" max="6203" width="16.33203125" style="549" customWidth="1"/>
    <col min="6204" max="6204" width="18.109375" style="549" customWidth="1"/>
    <col min="6205" max="6205" width="14.109375" style="549" customWidth="1"/>
    <col min="6206" max="6432" width="0" style="549" hidden="1"/>
    <col min="6433" max="6433" width="7.5546875" style="549" customWidth="1"/>
    <col min="6434" max="6434" width="36.77734375" style="549" customWidth="1"/>
    <col min="6435" max="6436" width="0" style="549" hidden="1"/>
    <col min="6437" max="6437" width="16.6640625" style="549" customWidth="1"/>
    <col min="6438" max="6438" width="17.33203125" style="549" customWidth="1"/>
    <col min="6439" max="6439" width="15.5546875" style="549" customWidth="1"/>
    <col min="6440" max="6440" width="0" style="549" hidden="1"/>
    <col min="6441" max="6441" width="16.6640625" style="549" customWidth="1"/>
    <col min="6442" max="6442" width="17.44140625" style="549" customWidth="1"/>
    <col min="6443" max="6444" width="0" style="549" hidden="1"/>
    <col min="6445" max="6447" width="15.33203125" style="549" customWidth="1"/>
    <col min="6448" max="6448" width="17" style="549" customWidth="1"/>
    <col min="6449" max="6449" width="0" style="549" hidden="1"/>
    <col min="6450" max="6451" width="15.5546875" style="549" customWidth="1"/>
    <col min="6452" max="6452" width="13.6640625" style="549" customWidth="1"/>
    <col min="6453" max="6453" width="9" style="549" customWidth="1"/>
    <col min="6454" max="6454" width="49.88671875" style="549" customWidth="1"/>
    <col min="6455" max="6455" width="0" style="549" hidden="1"/>
    <col min="6456" max="6457" width="15.88671875" style="549" customWidth="1"/>
    <col min="6458" max="6458" width="14.5546875" style="549" customWidth="1"/>
    <col min="6459" max="6459" width="16.33203125" style="549" customWidth="1"/>
    <col min="6460" max="6460" width="18.109375" style="549" customWidth="1"/>
    <col min="6461" max="6461" width="14.109375" style="549" customWidth="1"/>
    <col min="6462" max="6688" width="0" style="549" hidden="1"/>
    <col min="6689" max="6689" width="7.5546875" style="549" customWidth="1"/>
    <col min="6690" max="6690" width="36.77734375" style="549" customWidth="1"/>
    <col min="6691" max="6692" width="0" style="549" hidden="1"/>
    <col min="6693" max="6693" width="16.6640625" style="549" customWidth="1"/>
    <col min="6694" max="6694" width="17.33203125" style="549" customWidth="1"/>
    <col min="6695" max="6695" width="15.5546875" style="549" customWidth="1"/>
    <col min="6696" max="6696" width="0" style="549" hidden="1"/>
    <col min="6697" max="6697" width="16.6640625" style="549" customWidth="1"/>
    <col min="6698" max="6698" width="17.44140625" style="549" customWidth="1"/>
    <col min="6699" max="6700" width="0" style="549" hidden="1"/>
    <col min="6701" max="6703" width="15.33203125" style="549" customWidth="1"/>
    <col min="6704" max="6704" width="17" style="549" customWidth="1"/>
    <col min="6705" max="6705" width="0" style="549" hidden="1"/>
    <col min="6706" max="6707" width="15.5546875" style="549" customWidth="1"/>
    <col min="6708" max="6708" width="13.6640625" style="549" customWidth="1"/>
    <col min="6709" max="6709" width="9" style="549" customWidth="1"/>
    <col min="6710" max="6710" width="49.88671875" style="549" customWidth="1"/>
    <col min="6711" max="6711" width="0" style="549" hidden="1"/>
    <col min="6712" max="6713" width="15.88671875" style="549" customWidth="1"/>
    <col min="6714" max="6714" width="14.5546875" style="549" customWidth="1"/>
    <col min="6715" max="6715" width="16.33203125" style="549" customWidth="1"/>
    <col min="6716" max="6716" width="18.109375" style="549" customWidth="1"/>
    <col min="6717" max="6717" width="14.109375" style="549" customWidth="1"/>
    <col min="6718" max="6944" width="0" style="549" hidden="1"/>
    <col min="6945" max="6945" width="7.5546875" style="549" customWidth="1"/>
    <col min="6946" max="6946" width="36.77734375" style="549" customWidth="1"/>
    <col min="6947" max="6948" width="0" style="549" hidden="1"/>
    <col min="6949" max="6949" width="16.6640625" style="549" customWidth="1"/>
    <col min="6950" max="6950" width="17.33203125" style="549" customWidth="1"/>
    <col min="6951" max="6951" width="15.5546875" style="549" customWidth="1"/>
    <col min="6952" max="6952" width="0" style="549" hidden="1"/>
    <col min="6953" max="6953" width="16.6640625" style="549" customWidth="1"/>
    <col min="6954" max="6954" width="17.44140625" style="549" customWidth="1"/>
    <col min="6955" max="6956" width="0" style="549" hidden="1"/>
    <col min="6957" max="6959" width="15.33203125" style="549" customWidth="1"/>
    <col min="6960" max="6960" width="17" style="549" customWidth="1"/>
    <col min="6961" max="6961" width="0" style="549" hidden="1"/>
    <col min="6962" max="6963" width="15.5546875" style="549" customWidth="1"/>
    <col min="6964" max="6964" width="13.6640625" style="549" customWidth="1"/>
    <col min="6965" max="6965" width="9" style="549" customWidth="1"/>
    <col min="6966" max="6966" width="49.88671875" style="549" customWidth="1"/>
    <col min="6967" max="6967" width="0" style="549" hidden="1"/>
    <col min="6968" max="6969" width="15.88671875" style="549" customWidth="1"/>
    <col min="6970" max="6970" width="14.5546875" style="549" customWidth="1"/>
    <col min="6971" max="6971" width="16.33203125" style="549" customWidth="1"/>
    <col min="6972" max="6972" width="18.109375" style="549" customWidth="1"/>
    <col min="6973" max="6973" width="14.109375" style="549" customWidth="1"/>
    <col min="6974" max="7200" width="0" style="549" hidden="1"/>
    <col min="7201" max="7201" width="7.5546875" style="549" customWidth="1"/>
    <col min="7202" max="7202" width="36.77734375" style="549" customWidth="1"/>
    <col min="7203" max="7204" width="0" style="549" hidden="1"/>
    <col min="7205" max="7205" width="16.6640625" style="549" customWidth="1"/>
    <col min="7206" max="7206" width="17.33203125" style="549" customWidth="1"/>
    <col min="7207" max="7207" width="15.5546875" style="549" customWidth="1"/>
    <col min="7208" max="7208" width="0" style="549" hidden="1"/>
    <col min="7209" max="7209" width="16.6640625" style="549" customWidth="1"/>
    <col min="7210" max="7210" width="17.44140625" style="549" customWidth="1"/>
    <col min="7211" max="7212" width="0" style="549" hidden="1"/>
    <col min="7213" max="7215" width="15.33203125" style="549" customWidth="1"/>
    <col min="7216" max="7216" width="17" style="549" customWidth="1"/>
    <col min="7217" max="7217" width="0" style="549" hidden="1"/>
    <col min="7218" max="7219" width="15.5546875" style="549" customWidth="1"/>
    <col min="7220" max="7220" width="13.6640625" style="549" customWidth="1"/>
    <col min="7221" max="7221" width="9" style="549" customWidth="1"/>
    <col min="7222" max="7222" width="49.88671875" style="549" customWidth="1"/>
    <col min="7223" max="7223" width="0" style="549" hidden="1"/>
    <col min="7224" max="7225" width="15.88671875" style="549" customWidth="1"/>
    <col min="7226" max="7226" width="14.5546875" style="549" customWidth="1"/>
    <col min="7227" max="7227" width="16.33203125" style="549" customWidth="1"/>
    <col min="7228" max="7228" width="18.109375" style="549" customWidth="1"/>
    <col min="7229" max="7229" width="14.109375" style="549" customWidth="1"/>
    <col min="7230" max="7456" width="0" style="549" hidden="1"/>
    <col min="7457" max="7457" width="7.5546875" style="549" customWidth="1"/>
    <col min="7458" max="7458" width="36.77734375" style="549" customWidth="1"/>
    <col min="7459" max="7460" width="0" style="549" hidden="1"/>
    <col min="7461" max="7461" width="16.6640625" style="549" customWidth="1"/>
    <col min="7462" max="7462" width="17.33203125" style="549" customWidth="1"/>
    <col min="7463" max="7463" width="15.5546875" style="549" customWidth="1"/>
    <col min="7464" max="7464" width="0" style="549" hidden="1"/>
    <col min="7465" max="7465" width="16.6640625" style="549" customWidth="1"/>
    <col min="7466" max="7466" width="17.44140625" style="549" customWidth="1"/>
    <col min="7467" max="7468" width="0" style="549" hidden="1"/>
    <col min="7469" max="7471" width="15.33203125" style="549" customWidth="1"/>
    <col min="7472" max="7472" width="17" style="549" customWidth="1"/>
    <col min="7473" max="7473" width="0" style="549" hidden="1"/>
    <col min="7474" max="7475" width="15.5546875" style="549" customWidth="1"/>
    <col min="7476" max="7476" width="13.6640625" style="549" customWidth="1"/>
    <col min="7477" max="7477" width="9" style="549" customWidth="1"/>
    <col min="7478" max="7478" width="49.88671875" style="549" customWidth="1"/>
    <col min="7479" max="7479" width="0" style="549" hidden="1"/>
    <col min="7480" max="7481" width="15.88671875" style="549" customWidth="1"/>
    <col min="7482" max="7482" width="14.5546875" style="549" customWidth="1"/>
    <col min="7483" max="7483" width="16.33203125" style="549" customWidth="1"/>
    <col min="7484" max="7484" width="18.109375" style="549" customWidth="1"/>
    <col min="7485" max="7485" width="14.109375" style="549" customWidth="1"/>
    <col min="7486" max="7712" width="0" style="549" hidden="1"/>
    <col min="7713" max="7713" width="7.5546875" style="549" customWidth="1"/>
    <col min="7714" max="7714" width="36.77734375" style="549" customWidth="1"/>
    <col min="7715" max="7716" width="0" style="549" hidden="1"/>
    <col min="7717" max="7717" width="16.6640625" style="549" customWidth="1"/>
    <col min="7718" max="7718" width="17.33203125" style="549" customWidth="1"/>
    <col min="7719" max="7719" width="15.5546875" style="549" customWidth="1"/>
    <col min="7720" max="7720" width="0" style="549" hidden="1"/>
    <col min="7721" max="7721" width="16.6640625" style="549" customWidth="1"/>
    <col min="7722" max="7722" width="17.44140625" style="549" customWidth="1"/>
    <col min="7723" max="7724" width="0" style="549" hidden="1"/>
    <col min="7725" max="7727" width="15.33203125" style="549" customWidth="1"/>
    <col min="7728" max="7728" width="17" style="549" customWidth="1"/>
    <col min="7729" max="7729" width="0" style="549" hidden="1"/>
    <col min="7730" max="7731" width="15.5546875" style="549" customWidth="1"/>
    <col min="7732" max="7732" width="13.6640625" style="549" customWidth="1"/>
    <col min="7733" max="7733" width="9" style="549" customWidth="1"/>
    <col min="7734" max="7734" width="49.88671875" style="549" customWidth="1"/>
    <col min="7735" max="7735" width="0" style="549" hidden="1"/>
    <col min="7736" max="7737" width="15.88671875" style="549" customWidth="1"/>
    <col min="7738" max="7738" width="14.5546875" style="549" customWidth="1"/>
    <col min="7739" max="7739" width="16.33203125" style="549" customWidth="1"/>
    <col min="7740" max="7740" width="18.109375" style="549" customWidth="1"/>
    <col min="7741" max="7741" width="14.109375" style="549" customWidth="1"/>
    <col min="7742" max="7968" width="0" style="549" hidden="1"/>
    <col min="7969" max="7969" width="7.5546875" style="549" customWidth="1"/>
    <col min="7970" max="7970" width="36.77734375" style="549" customWidth="1"/>
    <col min="7971" max="7972" width="0" style="549" hidden="1"/>
    <col min="7973" max="7973" width="16.6640625" style="549" customWidth="1"/>
    <col min="7974" max="7974" width="17.33203125" style="549" customWidth="1"/>
    <col min="7975" max="7975" width="15.5546875" style="549" customWidth="1"/>
    <col min="7976" max="7976" width="0" style="549" hidden="1"/>
    <col min="7977" max="7977" width="16.6640625" style="549" customWidth="1"/>
    <col min="7978" max="7978" width="17.44140625" style="549" customWidth="1"/>
    <col min="7979" max="7980" width="0" style="549" hidden="1"/>
    <col min="7981" max="7983" width="15.33203125" style="549" customWidth="1"/>
    <col min="7984" max="7984" width="17" style="549" customWidth="1"/>
    <col min="7985" max="7985" width="0" style="549" hidden="1"/>
    <col min="7986" max="7987" width="15.5546875" style="549" customWidth="1"/>
    <col min="7988" max="7988" width="13.6640625" style="549" customWidth="1"/>
    <col min="7989" max="7989" width="9" style="549" customWidth="1"/>
    <col min="7990" max="7990" width="49.88671875" style="549" customWidth="1"/>
    <col min="7991" max="7991" width="0" style="549" hidden="1"/>
    <col min="7992" max="7993" width="15.88671875" style="549" customWidth="1"/>
    <col min="7994" max="7994" width="14.5546875" style="549" customWidth="1"/>
    <col min="7995" max="7995" width="16.33203125" style="549" customWidth="1"/>
    <col min="7996" max="7996" width="18.109375" style="549" customWidth="1"/>
    <col min="7997" max="7997" width="14.109375" style="549" customWidth="1"/>
    <col min="7998" max="8224" width="0" style="549" hidden="1"/>
    <col min="8225" max="8225" width="7.5546875" style="549" customWidth="1"/>
    <col min="8226" max="8226" width="36.77734375" style="549" customWidth="1"/>
    <col min="8227" max="8228" width="0" style="549" hidden="1"/>
    <col min="8229" max="8229" width="16.6640625" style="549" customWidth="1"/>
    <col min="8230" max="8230" width="17.33203125" style="549" customWidth="1"/>
    <col min="8231" max="8231" width="15.5546875" style="549" customWidth="1"/>
    <col min="8232" max="8232" width="0" style="549" hidden="1"/>
    <col min="8233" max="8233" width="16.6640625" style="549" customWidth="1"/>
    <col min="8234" max="8234" width="17.44140625" style="549" customWidth="1"/>
    <col min="8235" max="8236" width="0" style="549" hidden="1"/>
    <col min="8237" max="8239" width="15.33203125" style="549" customWidth="1"/>
    <col min="8240" max="8240" width="17" style="549" customWidth="1"/>
    <col min="8241" max="8241" width="0" style="549" hidden="1"/>
    <col min="8242" max="8243" width="15.5546875" style="549" customWidth="1"/>
    <col min="8244" max="8244" width="13.6640625" style="549" customWidth="1"/>
    <col min="8245" max="8245" width="9" style="549" customWidth="1"/>
    <col min="8246" max="8246" width="49.88671875" style="549" customWidth="1"/>
    <col min="8247" max="8247" width="0" style="549" hidden="1"/>
    <col min="8248" max="8249" width="15.88671875" style="549" customWidth="1"/>
    <col min="8250" max="8250" width="14.5546875" style="549" customWidth="1"/>
    <col min="8251" max="8251" width="16.33203125" style="549" customWidth="1"/>
    <col min="8252" max="8252" width="18.109375" style="549" customWidth="1"/>
    <col min="8253" max="8253" width="14.109375" style="549" customWidth="1"/>
    <col min="8254" max="8480" width="0" style="549" hidden="1"/>
    <col min="8481" max="8481" width="7.5546875" style="549" customWidth="1"/>
    <col min="8482" max="8482" width="36.77734375" style="549" customWidth="1"/>
    <col min="8483" max="8484" width="0" style="549" hidden="1"/>
    <col min="8485" max="8485" width="16.6640625" style="549" customWidth="1"/>
    <col min="8486" max="8486" width="17.33203125" style="549" customWidth="1"/>
    <col min="8487" max="8487" width="15.5546875" style="549" customWidth="1"/>
    <col min="8488" max="8488" width="0" style="549" hidden="1"/>
    <col min="8489" max="8489" width="16.6640625" style="549" customWidth="1"/>
    <col min="8490" max="8490" width="17.44140625" style="549" customWidth="1"/>
    <col min="8491" max="8492" width="0" style="549" hidden="1"/>
    <col min="8493" max="8495" width="15.33203125" style="549" customWidth="1"/>
    <col min="8496" max="8496" width="17" style="549" customWidth="1"/>
    <col min="8497" max="8497" width="0" style="549" hidden="1"/>
    <col min="8498" max="8499" width="15.5546875" style="549" customWidth="1"/>
    <col min="8500" max="8500" width="13.6640625" style="549" customWidth="1"/>
    <col min="8501" max="8501" width="9" style="549" customWidth="1"/>
    <col min="8502" max="8502" width="49.88671875" style="549" customWidth="1"/>
    <col min="8503" max="8503" width="0" style="549" hidden="1"/>
    <col min="8504" max="8505" width="15.88671875" style="549" customWidth="1"/>
    <col min="8506" max="8506" width="14.5546875" style="549" customWidth="1"/>
    <col min="8507" max="8507" width="16.33203125" style="549" customWidth="1"/>
    <col min="8508" max="8508" width="18.109375" style="549" customWidth="1"/>
    <col min="8509" max="8509" width="14.109375" style="549" customWidth="1"/>
    <col min="8510" max="8736" width="0" style="549" hidden="1"/>
    <col min="8737" max="8737" width="7.5546875" style="549" customWidth="1"/>
    <col min="8738" max="8738" width="36.77734375" style="549" customWidth="1"/>
    <col min="8739" max="8740" width="0" style="549" hidden="1"/>
    <col min="8741" max="8741" width="16.6640625" style="549" customWidth="1"/>
    <col min="8742" max="8742" width="17.33203125" style="549" customWidth="1"/>
    <col min="8743" max="8743" width="15.5546875" style="549" customWidth="1"/>
    <col min="8744" max="8744" width="0" style="549" hidden="1"/>
    <col min="8745" max="8745" width="16.6640625" style="549" customWidth="1"/>
    <col min="8746" max="8746" width="17.44140625" style="549" customWidth="1"/>
    <col min="8747" max="8748" width="0" style="549" hidden="1"/>
    <col min="8749" max="8751" width="15.33203125" style="549" customWidth="1"/>
    <col min="8752" max="8752" width="17" style="549" customWidth="1"/>
    <col min="8753" max="8753" width="0" style="549" hidden="1"/>
    <col min="8754" max="8755" width="15.5546875" style="549" customWidth="1"/>
    <col min="8756" max="8756" width="13.6640625" style="549" customWidth="1"/>
    <col min="8757" max="8757" width="9" style="549" customWidth="1"/>
    <col min="8758" max="8758" width="49.88671875" style="549" customWidth="1"/>
    <col min="8759" max="8759" width="0" style="549" hidden="1"/>
    <col min="8760" max="8761" width="15.88671875" style="549" customWidth="1"/>
    <col min="8762" max="8762" width="14.5546875" style="549" customWidth="1"/>
    <col min="8763" max="8763" width="16.33203125" style="549" customWidth="1"/>
    <col min="8764" max="8764" width="18.109375" style="549" customWidth="1"/>
    <col min="8765" max="8765" width="14.109375" style="549" customWidth="1"/>
    <col min="8766" max="8992" width="0" style="549" hidden="1"/>
    <col min="8993" max="8993" width="7.5546875" style="549" customWidth="1"/>
    <col min="8994" max="8994" width="36.77734375" style="549" customWidth="1"/>
    <col min="8995" max="8996" width="0" style="549" hidden="1"/>
    <col min="8997" max="8997" width="16.6640625" style="549" customWidth="1"/>
    <col min="8998" max="8998" width="17.33203125" style="549" customWidth="1"/>
    <col min="8999" max="8999" width="15.5546875" style="549" customWidth="1"/>
    <col min="9000" max="9000" width="0" style="549" hidden="1"/>
    <col min="9001" max="9001" width="16.6640625" style="549" customWidth="1"/>
    <col min="9002" max="9002" width="17.44140625" style="549" customWidth="1"/>
    <col min="9003" max="9004" width="0" style="549" hidden="1"/>
    <col min="9005" max="9007" width="15.33203125" style="549" customWidth="1"/>
    <col min="9008" max="9008" width="17" style="549" customWidth="1"/>
    <col min="9009" max="9009" width="0" style="549" hidden="1"/>
    <col min="9010" max="9011" width="15.5546875" style="549" customWidth="1"/>
    <col min="9012" max="9012" width="13.6640625" style="549" customWidth="1"/>
    <col min="9013" max="9013" width="9" style="549" customWidth="1"/>
    <col min="9014" max="9014" width="49.88671875" style="549" customWidth="1"/>
    <col min="9015" max="9015" width="0" style="549" hidden="1"/>
    <col min="9016" max="9017" width="15.88671875" style="549" customWidth="1"/>
    <col min="9018" max="9018" width="14.5546875" style="549" customWidth="1"/>
    <col min="9019" max="9019" width="16.33203125" style="549" customWidth="1"/>
    <col min="9020" max="9020" width="18.109375" style="549" customWidth="1"/>
    <col min="9021" max="9021" width="14.109375" style="549" customWidth="1"/>
    <col min="9022" max="9248" width="0" style="549" hidden="1"/>
    <col min="9249" max="9249" width="7.5546875" style="549" customWidth="1"/>
    <col min="9250" max="9250" width="36.77734375" style="549" customWidth="1"/>
    <col min="9251" max="9252" width="0" style="549" hidden="1"/>
    <col min="9253" max="9253" width="16.6640625" style="549" customWidth="1"/>
    <col min="9254" max="9254" width="17.33203125" style="549" customWidth="1"/>
    <col min="9255" max="9255" width="15.5546875" style="549" customWidth="1"/>
    <col min="9256" max="9256" width="0" style="549" hidden="1"/>
    <col min="9257" max="9257" width="16.6640625" style="549" customWidth="1"/>
    <col min="9258" max="9258" width="17.44140625" style="549" customWidth="1"/>
    <col min="9259" max="9260" width="0" style="549" hidden="1"/>
    <col min="9261" max="9263" width="15.33203125" style="549" customWidth="1"/>
    <col min="9264" max="9264" width="17" style="549" customWidth="1"/>
    <col min="9265" max="9265" width="0" style="549" hidden="1"/>
    <col min="9266" max="9267" width="15.5546875" style="549" customWidth="1"/>
    <col min="9268" max="9268" width="13.6640625" style="549" customWidth="1"/>
    <col min="9269" max="9269" width="9" style="549" customWidth="1"/>
    <col min="9270" max="9270" width="49.88671875" style="549" customWidth="1"/>
    <col min="9271" max="9271" width="0" style="549" hidden="1"/>
    <col min="9272" max="9273" width="15.88671875" style="549" customWidth="1"/>
    <col min="9274" max="9274" width="14.5546875" style="549" customWidth="1"/>
    <col min="9275" max="9275" width="16.33203125" style="549" customWidth="1"/>
    <col min="9276" max="9276" width="18.109375" style="549" customWidth="1"/>
    <col min="9277" max="9277" width="14.109375" style="549" customWidth="1"/>
    <col min="9278" max="9504" width="0" style="549" hidden="1"/>
    <col min="9505" max="9505" width="7.5546875" style="549" customWidth="1"/>
    <col min="9506" max="9506" width="36.77734375" style="549" customWidth="1"/>
    <col min="9507" max="9508" width="0" style="549" hidden="1"/>
    <col min="9509" max="9509" width="16.6640625" style="549" customWidth="1"/>
    <col min="9510" max="9510" width="17.33203125" style="549" customWidth="1"/>
    <col min="9511" max="9511" width="15.5546875" style="549" customWidth="1"/>
    <col min="9512" max="9512" width="0" style="549" hidden="1"/>
    <col min="9513" max="9513" width="16.6640625" style="549" customWidth="1"/>
    <col min="9514" max="9514" width="17.44140625" style="549" customWidth="1"/>
    <col min="9515" max="9516" width="0" style="549" hidden="1"/>
    <col min="9517" max="9519" width="15.33203125" style="549" customWidth="1"/>
    <col min="9520" max="9520" width="17" style="549" customWidth="1"/>
    <col min="9521" max="9521" width="0" style="549" hidden="1"/>
    <col min="9522" max="9523" width="15.5546875" style="549" customWidth="1"/>
    <col min="9524" max="9524" width="13.6640625" style="549" customWidth="1"/>
    <col min="9525" max="9525" width="9" style="549" customWidth="1"/>
    <col min="9526" max="9526" width="49.88671875" style="549" customWidth="1"/>
    <col min="9527" max="9527" width="0" style="549" hidden="1"/>
    <col min="9528" max="9529" width="15.88671875" style="549" customWidth="1"/>
    <col min="9530" max="9530" width="14.5546875" style="549" customWidth="1"/>
    <col min="9531" max="9531" width="16.33203125" style="549" customWidth="1"/>
    <col min="9532" max="9532" width="18.109375" style="549" customWidth="1"/>
    <col min="9533" max="9533" width="14.109375" style="549" customWidth="1"/>
    <col min="9534" max="9760" width="0" style="549" hidden="1"/>
    <col min="9761" max="9761" width="7.5546875" style="549" customWidth="1"/>
    <col min="9762" max="9762" width="36.77734375" style="549" customWidth="1"/>
    <col min="9763" max="9764" width="0" style="549" hidden="1"/>
    <col min="9765" max="9765" width="16.6640625" style="549" customWidth="1"/>
    <col min="9766" max="9766" width="17.33203125" style="549" customWidth="1"/>
    <col min="9767" max="9767" width="15.5546875" style="549" customWidth="1"/>
    <col min="9768" max="9768" width="0" style="549" hidden="1"/>
    <col min="9769" max="9769" width="16.6640625" style="549" customWidth="1"/>
    <col min="9770" max="9770" width="17.44140625" style="549" customWidth="1"/>
    <col min="9771" max="9772" width="0" style="549" hidden="1"/>
    <col min="9773" max="9775" width="15.33203125" style="549" customWidth="1"/>
    <col min="9776" max="9776" width="17" style="549" customWidth="1"/>
    <col min="9777" max="9777" width="0" style="549" hidden="1"/>
    <col min="9778" max="9779" width="15.5546875" style="549" customWidth="1"/>
    <col min="9780" max="9780" width="13.6640625" style="549" customWidth="1"/>
    <col min="9781" max="9781" width="9" style="549" customWidth="1"/>
    <col min="9782" max="9782" width="49.88671875" style="549" customWidth="1"/>
    <col min="9783" max="9783" width="0" style="549" hidden="1"/>
    <col min="9784" max="9785" width="15.88671875" style="549" customWidth="1"/>
    <col min="9786" max="9786" width="14.5546875" style="549" customWidth="1"/>
    <col min="9787" max="9787" width="16.33203125" style="549" customWidth="1"/>
    <col min="9788" max="9788" width="18.109375" style="549" customWidth="1"/>
    <col min="9789" max="9789" width="14.109375" style="549" customWidth="1"/>
    <col min="9790" max="10016" width="0" style="549" hidden="1"/>
    <col min="10017" max="10017" width="7.5546875" style="549" customWidth="1"/>
    <col min="10018" max="10018" width="36.77734375" style="549" customWidth="1"/>
    <col min="10019" max="10020" width="0" style="549" hidden="1"/>
    <col min="10021" max="10021" width="16.6640625" style="549" customWidth="1"/>
    <col min="10022" max="10022" width="17.33203125" style="549" customWidth="1"/>
    <col min="10023" max="10023" width="15.5546875" style="549" customWidth="1"/>
    <col min="10024" max="10024" width="0" style="549" hidden="1"/>
    <col min="10025" max="10025" width="16.6640625" style="549" customWidth="1"/>
    <col min="10026" max="10026" width="17.44140625" style="549" customWidth="1"/>
    <col min="10027" max="10028" width="0" style="549" hidden="1"/>
    <col min="10029" max="10031" width="15.33203125" style="549" customWidth="1"/>
    <col min="10032" max="10032" width="17" style="549" customWidth="1"/>
    <col min="10033" max="10033" width="0" style="549" hidden="1"/>
    <col min="10034" max="10035" width="15.5546875" style="549" customWidth="1"/>
    <col min="10036" max="10036" width="13.6640625" style="549" customWidth="1"/>
    <col min="10037" max="10037" width="9" style="549" customWidth="1"/>
    <col min="10038" max="10038" width="49.88671875" style="549" customWidth="1"/>
    <col min="10039" max="10039" width="0" style="549" hidden="1"/>
    <col min="10040" max="10041" width="15.88671875" style="549" customWidth="1"/>
    <col min="10042" max="10042" width="14.5546875" style="549" customWidth="1"/>
    <col min="10043" max="10043" width="16.33203125" style="549" customWidth="1"/>
    <col min="10044" max="10044" width="18.109375" style="549" customWidth="1"/>
    <col min="10045" max="10045" width="14.109375" style="549" customWidth="1"/>
    <col min="10046" max="10272" width="0" style="549" hidden="1"/>
    <col min="10273" max="10273" width="7.5546875" style="549" customWidth="1"/>
    <col min="10274" max="10274" width="36.77734375" style="549" customWidth="1"/>
    <col min="10275" max="10276" width="0" style="549" hidden="1"/>
    <col min="10277" max="10277" width="16.6640625" style="549" customWidth="1"/>
    <col min="10278" max="10278" width="17.33203125" style="549" customWidth="1"/>
    <col min="10279" max="10279" width="15.5546875" style="549" customWidth="1"/>
    <col min="10280" max="10280" width="0" style="549" hidden="1"/>
    <col min="10281" max="10281" width="16.6640625" style="549" customWidth="1"/>
    <col min="10282" max="10282" width="17.44140625" style="549" customWidth="1"/>
    <col min="10283" max="10284" width="0" style="549" hidden="1"/>
    <col min="10285" max="10287" width="15.33203125" style="549" customWidth="1"/>
    <col min="10288" max="10288" width="17" style="549" customWidth="1"/>
    <col min="10289" max="10289" width="0" style="549" hidden="1"/>
    <col min="10290" max="10291" width="15.5546875" style="549" customWidth="1"/>
    <col min="10292" max="10292" width="13.6640625" style="549" customWidth="1"/>
    <col min="10293" max="10293" width="9" style="549" customWidth="1"/>
    <col min="10294" max="10294" width="49.88671875" style="549" customWidth="1"/>
    <col min="10295" max="10295" width="0" style="549" hidden="1"/>
    <col min="10296" max="10297" width="15.88671875" style="549" customWidth="1"/>
    <col min="10298" max="10298" width="14.5546875" style="549" customWidth="1"/>
    <col min="10299" max="10299" width="16.33203125" style="549" customWidth="1"/>
    <col min="10300" max="10300" width="18.109375" style="549" customWidth="1"/>
    <col min="10301" max="10301" width="14.109375" style="549" customWidth="1"/>
    <col min="10302" max="10528" width="0" style="549" hidden="1"/>
    <col min="10529" max="10529" width="7.5546875" style="549" customWidth="1"/>
    <col min="10530" max="10530" width="36.77734375" style="549" customWidth="1"/>
    <col min="10531" max="10532" width="0" style="549" hidden="1"/>
    <col min="10533" max="10533" width="16.6640625" style="549" customWidth="1"/>
    <col min="10534" max="10534" width="17.33203125" style="549" customWidth="1"/>
    <col min="10535" max="10535" width="15.5546875" style="549" customWidth="1"/>
    <col min="10536" max="10536" width="0" style="549" hidden="1"/>
    <col min="10537" max="10537" width="16.6640625" style="549" customWidth="1"/>
    <col min="10538" max="10538" width="17.44140625" style="549" customWidth="1"/>
    <col min="10539" max="10540" width="0" style="549" hidden="1"/>
    <col min="10541" max="10543" width="15.33203125" style="549" customWidth="1"/>
    <col min="10544" max="10544" width="17" style="549" customWidth="1"/>
    <col min="10545" max="10545" width="0" style="549" hidden="1"/>
    <col min="10546" max="10547" width="15.5546875" style="549" customWidth="1"/>
    <col min="10548" max="10548" width="13.6640625" style="549" customWidth="1"/>
    <col min="10549" max="10549" width="9" style="549" customWidth="1"/>
    <col min="10550" max="10550" width="49.88671875" style="549" customWidth="1"/>
    <col min="10551" max="10551" width="0" style="549" hidden="1"/>
    <col min="10552" max="10553" width="15.88671875" style="549" customWidth="1"/>
    <col min="10554" max="10554" width="14.5546875" style="549" customWidth="1"/>
    <col min="10555" max="10555" width="16.33203125" style="549" customWidth="1"/>
    <col min="10556" max="10556" width="18.109375" style="549" customWidth="1"/>
    <col min="10557" max="10557" width="14.109375" style="549" customWidth="1"/>
    <col min="10558" max="10784" width="0" style="549" hidden="1"/>
    <col min="10785" max="10785" width="7.5546875" style="549" customWidth="1"/>
    <col min="10786" max="10786" width="36.77734375" style="549" customWidth="1"/>
    <col min="10787" max="10788" width="0" style="549" hidden="1"/>
    <col min="10789" max="10789" width="16.6640625" style="549" customWidth="1"/>
    <col min="10790" max="10790" width="17.33203125" style="549" customWidth="1"/>
    <col min="10791" max="10791" width="15.5546875" style="549" customWidth="1"/>
    <col min="10792" max="10792" width="0" style="549" hidden="1"/>
    <col min="10793" max="10793" width="16.6640625" style="549" customWidth="1"/>
    <col min="10794" max="10794" width="17.44140625" style="549" customWidth="1"/>
    <col min="10795" max="10796" width="0" style="549" hidden="1"/>
    <col min="10797" max="10799" width="15.33203125" style="549" customWidth="1"/>
    <col min="10800" max="10800" width="17" style="549" customWidth="1"/>
    <col min="10801" max="10801" width="0" style="549" hidden="1"/>
    <col min="10802" max="10803" width="15.5546875" style="549" customWidth="1"/>
    <col min="10804" max="10804" width="13.6640625" style="549" customWidth="1"/>
    <col min="10805" max="10805" width="9" style="549" customWidth="1"/>
    <col min="10806" max="10806" width="49.88671875" style="549" customWidth="1"/>
    <col min="10807" max="10807" width="0" style="549" hidden="1"/>
    <col min="10808" max="10809" width="15.88671875" style="549" customWidth="1"/>
    <col min="10810" max="10810" width="14.5546875" style="549" customWidth="1"/>
    <col min="10811" max="10811" width="16.33203125" style="549" customWidth="1"/>
    <col min="10812" max="10812" width="18.109375" style="549" customWidth="1"/>
    <col min="10813" max="10813" width="14.109375" style="549" customWidth="1"/>
    <col min="10814" max="11040" width="0" style="549" hidden="1"/>
    <col min="11041" max="11041" width="7.5546875" style="549" customWidth="1"/>
    <col min="11042" max="11042" width="36.77734375" style="549" customWidth="1"/>
    <col min="11043" max="11044" width="0" style="549" hidden="1"/>
    <col min="11045" max="11045" width="16.6640625" style="549" customWidth="1"/>
    <col min="11046" max="11046" width="17.33203125" style="549" customWidth="1"/>
    <col min="11047" max="11047" width="15.5546875" style="549" customWidth="1"/>
    <col min="11048" max="11048" width="0" style="549" hidden="1"/>
    <col min="11049" max="11049" width="16.6640625" style="549" customWidth="1"/>
    <col min="11050" max="11050" width="17.44140625" style="549" customWidth="1"/>
    <col min="11051" max="11052" width="0" style="549" hidden="1"/>
    <col min="11053" max="11055" width="15.33203125" style="549" customWidth="1"/>
    <col min="11056" max="11056" width="17" style="549" customWidth="1"/>
    <col min="11057" max="11057" width="0" style="549" hidden="1"/>
    <col min="11058" max="11059" width="15.5546875" style="549" customWidth="1"/>
    <col min="11060" max="11060" width="13.6640625" style="549" customWidth="1"/>
    <col min="11061" max="11061" width="9" style="549" customWidth="1"/>
    <col min="11062" max="11062" width="49.88671875" style="549" customWidth="1"/>
    <col min="11063" max="11063" width="0" style="549" hidden="1"/>
    <col min="11064" max="11065" width="15.88671875" style="549" customWidth="1"/>
    <col min="11066" max="11066" width="14.5546875" style="549" customWidth="1"/>
    <col min="11067" max="11067" width="16.33203125" style="549" customWidth="1"/>
    <col min="11068" max="11068" width="18.109375" style="549" customWidth="1"/>
    <col min="11069" max="11069" width="14.109375" style="549" customWidth="1"/>
    <col min="11070" max="11296" width="0" style="549" hidden="1"/>
    <col min="11297" max="11297" width="7.5546875" style="549" customWidth="1"/>
    <col min="11298" max="11298" width="36.77734375" style="549" customWidth="1"/>
    <col min="11299" max="11300" width="0" style="549" hidden="1"/>
    <col min="11301" max="11301" width="16.6640625" style="549" customWidth="1"/>
    <col min="11302" max="11302" width="17.33203125" style="549" customWidth="1"/>
    <col min="11303" max="11303" width="15.5546875" style="549" customWidth="1"/>
    <col min="11304" max="11304" width="0" style="549" hidden="1"/>
    <col min="11305" max="11305" width="16.6640625" style="549" customWidth="1"/>
    <col min="11306" max="11306" width="17.44140625" style="549" customWidth="1"/>
    <col min="11307" max="11308" width="0" style="549" hidden="1"/>
    <col min="11309" max="11311" width="15.33203125" style="549" customWidth="1"/>
    <col min="11312" max="11312" width="17" style="549" customWidth="1"/>
    <col min="11313" max="11313" width="0" style="549" hidden="1"/>
    <col min="11314" max="11315" width="15.5546875" style="549" customWidth="1"/>
    <col min="11316" max="11316" width="13.6640625" style="549" customWidth="1"/>
    <col min="11317" max="11317" width="9" style="549" customWidth="1"/>
    <col min="11318" max="11318" width="49.88671875" style="549" customWidth="1"/>
    <col min="11319" max="11319" width="0" style="549" hidden="1"/>
    <col min="11320" max="11321" width="15.88671875" style="549" customWidth="1"/>
    <col min="11322" max="11322" width="14.5546875" style="549" customWidth="1"/>
    <col min="11323" max="11323" width="16.33203125" style="549" customWidth="1"/>
    <col min="11324" max="11324" width="18.109375" style="549" customWidth="1"/>
    <col min="11325" max="11325" width="14.109375" style="549" customWidth="1"/>
    <col min="11326" max="11552" width="0" style="549" hidden="1"/>
    <col min="11553" max="11553" width="7.5546875" style="549" customWidth="1"/>
    <col min="11554" max="11554" width="36.77734375" style="549" customWidth="1"/>
    <col min="11555" max="11556" width="0" style="549" hidden="1"/>
    <col min="11557" max="11557" width="16.6640625" style="549" customWidth="1"/>
    <col min="11558" max="11558" width="17.33203125" style="549" customWidth="1"/>
    <col min="11559" max="11559" width="15.5546875" style="549" customWidth="1"/>
    <col min="11560" max="11560" width="0" style="549" hidden="1"/>
    <col min="11561" max="11561" width="16.6640625" style="549" customWidth="1"/>
    <col min="11562" max="11562" width="17.44140625" style="549" customWidth="1"/>
    <col min="11563" max="11564" width="0" style="549" hidden="1"/>
    <col min="11565" max="11567" width="15.33203125" style="549" customWidth="1"/>
    <col min="11568" max="11568" width="17" style="549" customWidth="1"/>
    <col min="11569" max="11569" width="0" style="549" hidden="1"/>
    <col min="11570" max="11571" width="15.5546875" style="549" customWidth="1"/>
    <col min="11572" max="11572" width="13.6640625" style="549" customWidth="1"/>
    <col min="11573" max="11573" width="9" style="549" customWidth="1"/>
    <col min="11574" max="11574" width="49.88671875" style="549" customWidth="1"/>
    <col min="11575" max="11575" width="0" style="549" hidden="1"/>
    <col min="11576" max="11577" width="15.88671875" style="549" customWidth="1"/>
    <col min="11578" max="11578" width="14.5546875" style="549" customWidth="1"/>
    <col min="11579" max="11579" width="16.33203125" style="549" customWidth="1"/>
    <col min="11580" max="11580" width="18.109375" style="549" customWidth="1"/>
    <col min="11581" max="11581" width="14.109375" style="549" customWidth="1"/>
    <col min="11582" max="11808" width="0" style="549" hidden="1"/>
    <col min="11809" max="11809" width="7.5546875" style="549" customWidth="1"/>
    <col min="11810" max="11810" width="36.77734375" style="549" customWidth="1"/>
    <col min="11811" max="11812" width="0" style="549" hidden="1"/>
    <col min="11813" max="11813" width="16.6640625" style="549" customWidth="1"/>
    <col min="11814" max="11814" width="17.33203125" style="549" customWidth="1"/>
    <col min="11815" max="11815" width="15.5546875" style="549" customWidth="1"/>
    <col min="11816" max="11816" width="0" style="549" hidden="1"/>
    <col min="11817" max="11817" width="16.6640625" style="549" customWidth="1"/>
    <col min="11818" max="11818" width="17.44140625" style="549" customWidth="1"/>
    <col min="11819" max="11820" width="0" style="549" hidden="1"/>
    <col min="11821" max="11823" width="15.33203125" style="549" customWidth="1"/>
    <col min="11824" max="11824" width="17" style="549" customWidth="1"/>
    <col min="11825" max="11825" width="0" style="549" hidden="1"/>
    <col min="11826" max="11827" width="15.5546875" style="549" customWidth="1"/>
    <col min="11828" max="11828" width="13.6640625" style="549" customWidth="1"/>
    <col min="11829" max="11829" width="9" style="549" customWidth="1"/>
    <col min="11830" max="11830" width="49.88671875" style="549" customWidth="1"/>
    <col min="11831" max="11831" width="0" style="549" hidden="1"/>
    <col min="11832" max="11833" width="15.88671875" style="549" customWidth="1"/>
    <col min="11834" max="11834" width="14.5546875" style="549" customWidth="1"/>
    <col min="11835" max="11835" width="16.33203125" style="549" customWidth="1"/>
    <col min="11836" max="11836" width="18.109375" style="549" customWidth="1"/>
    <col min="11837" max="11837" width="14.109375" style="549" customWidth="1"/>
    <col min="11838" max="12064" width="0" style="549" hidden="1"/>
    <col min="12065" max="12065" width="7.5546875" style="549" customWidth="1"/>
    <col min="12066" max="12066" width="36.77734375" style="549" customWidth="1"/>
    <col min="12067" max="12068" width="0" style="549" hidden="1"/>
    <col min="12069" max="12069" width="16.6640625" style="549" customWidth="1"/>
    <col min="12070" max="12070" width="17.33203125" style="549" customWidth="1"/>
    <col min="12071" max="12071" width="15.5546875" style="549" customWidth="1"/>
    <col min="12072" max="12072" width="0" style="549" hidden="1"/>
    <col min="12073" max="12073" width="16.6640625" style="549" customWidth="1"/>
    <col min="12074" max="12074" width="17.44140625" style="549" customWidth="1"/>
    <col min="12075" max="12076" width="0" style="549" hidden="1"/>
    <col min="12077" max="12079" width="15.33203125" style="549" customWidth="1"/>
    <col min="12080" max="12080" width="17" style="549" customWidth="1"/>
    <col min="12081" max="12081" width="0" style="549" hidden="1"/>
    <col min="12082" max="12083" width="15.5546875" style="549" customWidth="1"/>
    <col min="12084" max="12084" width="13.6640625" style="549" customWidth="1"/>
    <col min="12085" max="12085" width="9" style="549" customWidth="1"/>
    <col min="12086" max="12086" width="49.88671875" style="549" customWidth="1"/>
    <col min="12087" max="12087" width="0" style="549" hidden="1"/>
    <col min="12088" max="12089" width="15.88671875" style="549" customWidth="1"/>
    <col min="12090" max="12090" width="14.5546875" style="549" customWidth="1"/>
    <col min="12091" max="12091" width="16.33203125" style="549" customWidth="1"/>
    <col min="12092" max="12092" width="18.109375" style="549" customWidth="1"/>
    <col min="12093" max="12093" width="14.109375" style="549" customWidth="1"/>
    <col min="12094" max="12320" width="0" style="549" hidden="1"/>
    <col min="12321" max="12321" width="7.5546875" style="549" customWidth="1"/>
    <col min="12322" max="12322" width="36.77734375" style="549" customWidth="1"/>
    <col min="12323" max="12324" width="0" style="549" hidden="1"/>
    <col min="12325" max="12325" width="16.6640625" style="549" customWidth="1"/>
    <col min="12326" max="12326" width="17.33203125" style="549" customWidth="1"/>
    <col min="12327" max="12327" width="15.5546875" style="549" customWidth="1"/>
    <col min="12328" max="12328" width="0" style="549" hidden="1"/>
    <col min="12329" max="12329" width="16.6640625" style="549" customWidth="1"/>
    <col min="12330" max="12330" width="17.44140625" style="549" customWidth="1"/>
    <col min="12331" max="12332" width="0" style="549" hidden="1"/>
    <col min="12333" max="12335" width="15.33203125" style="549" customWidth="1"/>
    <col min="12336" max="12336" width="17" style="549" customWidth="1"/>
    <col min="12337" max="12337" width="0" style="549" hidden="1"/>
    <col min="12338" max="12339" width="15.5546875" style="549" customWidth="1"/>
    <col min="12340" max="12340" width="13.6640625" style="549" customWidth="1"/>
    <col min="12341" max="12341" width="9" style="549" customWidth="1"/>
    <col min="12342" max="12342" width="49.88671875" style="549" customWidth="1"/>
    <col min="12343" max="12343" width="0" style="549" hidden="1"/>
    <col min="12344" max="12345" width="15.88671875" style="549" customWidth="1"/>
    <col min="12346" max="12346" width="14.5546875" style="549" customWidth="1"/>
    <col min="12347" max="12347" width="16.33203125" style="549" customWidth="1"/>
    <col min="12348" max="12348" width="18.109375" style="549" customWidth="1"/>
    <col min="12349" max="12349" width="14.109375" style="549" customWidth="1"/>
    <col min="12350" max="12576" width="0" style="549" hidden="1"/>
    <col min="12577" max="12577" width="7.5546875" style="549" customWidth="1"/>
    <col min="12578" max="12578" width="36.77734375" style="549" customWidth="1"/>
    <col min="12579" max="12580" width="0" style="549" hidden="1"/>
    <col min="12581" max="12581" width="16.6640625" style="549" customWidth="1"/>
    <col min="12582" max="12582" width="17.33203125" style="549" customWidth="1"/>
    <col min="12583" max="12583" width="15.5546875" style="549" customWidth="1"/>
    <col min="12584" max="12584" width="0" style="549" hidden="1"/>
    <col min="12585" max="12585" width="16.6640625" style="549" customWidth="1"/>
    <col min="12586" max="12586" width="17.44140625" style="549" customWidth="1"/>
    <col min="12587" max="12588" width="0" style="549" hidden="1"/>
    <col min="12589" max="12591" width="15.33203125" style="549" customWidth="1"/>
    <col min="12592" max="12592" width="17" style="549" customWidth="1"/>
    <col min="12593" max="12593" width="0" style="549" hidden="1"/>
    <col min="12594" max="12595" width="15.5546875" style="549" customWidth="1"/>
    <col min="12596" max="12596" width="13.6640625" style="549" customWidth="1"/>
    <col min="12597" max="12597" width="9" style="549" customWidth="1"/>
    <col min="12598" max="12598" width="49.88671875" style="549" customWidth="1"/>
    <col min="12599" max="12599" width="0" style="549" hidden="1"/>
    <col min="12600" max="12601" width="15.88671875" style="549" customWidth="1"/>
    <col min="12602" max="12602" width="14.5546875" style="549" customWidth="1"/>
    <col min="12603" max="12603" width="16.33203125" style="549" customWidth="1"/>
    <col min="12604" max="12604" width="18.109375" style="549" customWidth="1"/>
    <col min="12605" max="12605" width="14.109375" style="549" customWidth="1"/>
    <col min="12606" max="12832" width="0" style="549" hidden="1"/>
    <col min="12833" max="12833" width="7.5546875" style="549" customWidth="1"/>
    <col min="12834" max="12834" width="36.77734375" style="549" customWidth="1"/>
    <col min="12835" max="12836" width="0" style="549" hidden="1"/>
    <col min="12837" max="12837" width="16.6640625" style="549" customWidth="1"/>
    <col min="12838" max="12838" width="17.33203125" style="549" customWidth="1"/>
    <col min="12839" max="12839" width="15.5546875" style="549" customWidth="1"/>
    <col min="12840" max="12840" width="0" style="549" hidden="1"/>
    <col min="12841" max="12841" width="16.6640625" style="549" customWidth="1"/>
    <col min="12842" max="12842" width="17.44140625" style="549" customWidth="1"/>
    <col min="12843" max="12844" width="0" style="549" hidden="1"/>
    <col min="12845" max="12847" width="15.33203125" style="549" customWidth="1"/>
    <col min="12848" max="12848" width="17" style="549" customWidth="1"/>
    <col min="12849" max="12849" width="0" style="549" hidden="1"/>
    <col min="12850" max="12851" width="15.5546875" style="549" customWidth="1"/>
    <col min="12852" max="12852" width="13.6640625" style="549" customWidth="1"/>
    <col min="12853" max="12853" width="9" style="549" customWidth="1"/>
    <col min="12854" max="12854" width="49.88671875" style="549" customWidth="1"/>
    <col min="12855" max="12855" width="0" style="549" hidden="1"/>
    <col min="12856" max="12857" width="15.88671875" style="549" customWidth="1"/>
    <col min="12858" max="12858" width="14.5546875" style="549" customWidth="1"/>
    <col min="12859" max="12859" width="16.33203125" style="549" customWidth="1"/>
    <col min="12860" max="12860" width="18.109375" style="549" customWidth="1"/>
    <col min="12861" max="12861" width="14.109375" style="549" customWidth="1"/>
    <col min="12862" max="13088" width="0" style="549" hidden="1"/>
    <col min="13089" max="13089" width="7.5546875" style="549" customWidth="1"/>
    <col min="13090" max="13090" width="36.77734375" style="549" customWidth="1"/>
    <col min="13091" max="13092" width="0" style="549" hidden="1"/>
    <col min="13093" max="13093" width="16.6640625" style="549" customWidth="1"/>
    <col min="13094" max="13094" width="17.33203125" style="549" customWidth="1"/>
    <col min="13095" max="13095" width="15.5546875" style="549" customWidth="1"/>
    <col min="13096" max="13096" width="0" style="549" hidden="1"/>
    <col min="13097" max="13097" width="16.6640625" style="549" customWidth="1"/>
    <col min="13098" max="13098" width="17.44140625" style="549" customWidth="1"/>
    <col min="13099" max="13100" width="0" style="549" hidden="1"/>
    <col min="13101" max="13103" width="15.33203125" style="549" customWidth="1"/>
    <col min="13104" max="13104" width="17" style="549" customWidth="1"/>
    <col min="13105" max="13105" width="0" style="549" hidden="1"/>
    <col min="13106" max="13107" width="15.5546875" style="549" customWidth="1"/>
    <col min="13108" max="13108" width="13.6640625" style="549" customWidth="1"/>
    <col min="13109" max="13109" width="9" style="549" customWidth="1"/>
    <col min="13110" max="13110" width="49.88671875" style="549" customWidth="1"/>
    <col min="13111" max="13111" width="0" style="549" hidden="1"/>
    <col min="13112" max="13113" width="15.88671875" style="549" customWidth="1"/>
    <col min="13114" max="13114" width="14.5546875" style="549" customWidth="1"/>
    <col min="13115" max="13115" width="16.33203125" style="549" customWidth="1"/>
    <col min="13116" max="13116" width="18.109375" style="549" customWidth="1"/>
    <col min="13117" max="13117" width="14.109375" style="549" customWidth="1"/>
    <col min="13118" max="13344" width="0" style="549" hidden="1"/>
    <col min="13345" max="13345" width="7.5546875" style="549" customWidth="1"/>
    <col min="13346" max="13346" width="36.77734375" style="549" customWidth="1"/>
    <col min="13347" max="13348" width="0" style="549" hidden="1"/>
    <col min="13349" max="13349" width="16.6640625" style="549" customWidth="1"/>
    <col min="13350" max="13350" width="17.33203125" style="549" customWidth="1"/>
    <col min="13351" max="13351" width="15.5546875" style="549" customWidth="1"/>
    <col min="13352" max="13352" width="0" style="549" hidden="1"/>
    <col min="13353" max="13353" width="16.6640625" style="549" customWidth="1"/>
    <col min="13354" max="13354" width="17.44140625" style="549" customWidth="1"/>
    <col min="13355" max="13356" width="0" style="549" hidden="1"/>
    <col min="13357" max="13359" width="15.33203125" style="549" customWidth="1"/>
    <col min="13360" max="13360" width="17" style="549" customWidth="1"/>
    <col min="13361" max="13361" width="0" style="549" hidden="1"/>
    <col min="13362" max="13363" width="15.5546875" style="549" customWidth="1"/>
    <col min="13364" max="13364" width="13.6640625" style="549" customWidth="1"/>
    <col min="13365" max="13365" width="9" style="549" customWidth="1"/>
    <col min="13366" max="13366" width="49.88671875" style="549" customWidth="1"/>
    <col min="13367" max="13367" width="0" style="549" hidden="1"/>
    <col min="13368" max="13369" width="15.88671875" style="549" customWidth="1"/>
    <col min="13370" max="13370" width="14.5546875" style="549" customWidth="1"/>
    <col min="13371" max="13371" width="16.33203125" style="549" customWidth="1"/>
    <col min="13372" max="13372" width="18.109375" style="549" customWidth="1"/>
    <col min="13373" max="13373" width="14.109375" style="549" customWidth="1"/>
    <col min="13374" max="13600" width="0" style="549" hidden="1"/>
    <col min="13601" max="13601" width="7.5546875" style="549" customWidth="1"/>
    <col min="13602" max="13602" width="36.77734375" style="549" customWidth="1"/>
    <col min="13603" max="13604" width="0" style="549" hidden="1"/>
    <col min="13605" max="13605" width="16.6640625" style="549" customWidth="1"/>
    <col min="13606" max="13606" width="17.33203125" style="549" customWidth="1"/>
    <col min="13607" max="13607" width="15.5546875" style="549" customWidth="1"/>
    <col min="13608" max="13608" width="0" style="549" hidden="1"/>
    <col min="13609" max="13609" width="16.6640625" style="549" customWidth="1"/>
    <col min="13610" max="13610" width="17.44140625" style="549" customWidth="1"/>
    <col min="13611" max="13612" width="0" style="549" hidden="1"/>
    <col min="13613" max="13615" width="15.33203125" style="549" customWidth="1"/>
    <col min="13616" max="13616" width="17" style="549" customWidth="1"/>
    <col min="13617" max="13617" width="0" style="549" hidden="1"/>
    <col min="13618" max="13619" width="15.5546875" style="549" customWidth="1"/>
    <col min="13620" max="13620" width="13.6640625" style="549" customWidth="1"/>
    <col min="13621" max="13621" width="9" style="549" customWidth="1"/>
    <col min="13622" max="13622" width="49.88671875" style="549" customWidth="1"/>
    <col min="13623" max="13623" width="0" style="549" hidden="1"/>
    <col min="13624" max="13625" width="15.88671875" style="549" customWidth="1"/>
    <col min="13626" max="13626" width="14.5546875" style="549" customWidth="1"/>
    <col min="13627" max="13627" width="16.33203125" style="549" customWidth="1"/>
    <col min="13628" max="13628" width="18.109375" style="549" customWidth="1"/>
    <col min="13629" max="13629" width="14.109375" style="549" customWidth="1"/>
    <col min="13630" max="13856" width="0" style="549" hidden="1"/>
    <col min="13857" max="13857" width="7.5546875" style="549" customWidth="1"/>
    <col min="13858" max="13858" width="36.77734375" style="549" customWidth="1"/>
    <col min="13859" max="13860" width="0" style="549" hidden="1"/>
    <col min="13861" max="13861" width="16.6640625" style="549" customWidth="1"/>
    <col min="13862" max="13862" width="17.33203125" style="549" customWidth="1"/>
    <col min="13863" max="13863" width="15.5546875" style="549" customWidth="1"/>
    <col min="13864" max="13864" width="0" style="549" hidden="1"/>
    <col min="13865" max="13865" width="16.6640625" style="549" customWidth="1"/>
    <col min="13866" max="13866" width="17.44140625" style="549" customWidth="1"/>
    <col min="13867" max="13868" width="0" style="549" hidden="1"/>
    <col min="13869" max="13871" width="15.33203125" style="549" customWidth="1"/>
    <col min="13872" max="13872" width="17" style="549" customWidth="1"/>
    <col min="13873" max="13873" width="0" style="549" hidden="1"/>
    <col min="13874" max="13875" width="15.5546875" style="549" customWidth="1"/>
    <col min="13876" max="13876" width="13.6640625" style="549" customWidth="1"/>
    <col min="13877" max="13877" width="9" style="549" customWidth="1"/>
    <col min="13878" max="13878" width="49.88671875" style="549" customWidth="1"/>
    <col min="13879" max="13879" width="0" style="549" hidden="1"/>
    <col min="13880" max="13881" width="15.88671875" style="549" customWidth="1"/>
    <col min="13882" max="13882" width="14.5546875" style="549" customWidth="1"/>
    <col min="13883" max="13883" width="16.33203125" style="549" customWidth="1"/>
    <col min="13884" max="13884" width="18.109375" style="549" customWidth="1"/>
    <col min="13885" max="13885" width="14.109375" style="549" customWidth="1"/>
    <col min="13886" max="14112" width="0" style="549" hidden="1"/>
    <col min="14113" max="14113" width="7.5546875" style="549" customWidth="1"/>
    <col min="14114" max="14114" width="36.77734375" style="549" customWidth="1"/>
    <col min="14115" max="14116" width="0" style="549" hidden="1"/>
    <col min="14117" max="14117" width="16.6640625" style="549" customWidth="1"/>
    <col min="14118" max="14118" width="17.33203125" style="549" customWidth="1"/>
    <col min="14119" max="14119" width="15.5546875" style="549" customWidth="1"/>
    <col min="14120" max="14120" width="0" style="549" hidden="1"/>
    <col min="14121" max="14121" width="16.6640625" style="549" customWidth="1"/>
    <col min="14122" max="14122" width="17.44140625" style="549" customWidth="1"/>
    <col min="14123" max="14124" width="0" style="549" hidden="1"/>
    <col min="14125" max="14127" width="15.33203125" style="549" customWidth="1"/>
    <col min="14128" max="14128" width="17" style="549" customWidth="1"/>
    <col min="14129" max="14129" width="0" style="549" hidden="1"/>
    <col min="14130" max="14131" width="15.5546875" style="549" customWidth="1"/>
    <col min="14132" max="14132" width="13.6640625" style="549" customWidth="1"/>
    <col min="14133" max="14133" width="9" style="549" customWidth="1"/>
    <col min="14134" max="14134" width="49.88671875" style="549" customWidth="1"/>
    <col min="14135" max="14135" width="0" style="549" hidden="1"/>
    <col min="14136" max="14137" width="15.88671875" style="549" customWidth="1"/>
    <col min="14138" max="14138" width="14.5546875" style="549" customWidth="1"/>
    <col min="14139" max="14139" width="16.33203125" style="549" customWidth="1"/>
    <col min="14140" max="14140" width="18.109375" style="549" customWidth="1"/>
    <col min="14141" max="14141" width="14.109375" style="549" customWidth="1"/>
    <col min="14142" max="14368" width="0" style="549" hidden="1"/>
    <col min="14369" max="14369" width="7.5546875" style="549" customWidth="1"/>
    <col min="14370" max="14370" width="36.77734375" style="549" customWidth="1"/>
    <col min="14371" max="14372" width="0" style="549" hidden="1"/>
    <col min="14373" max="14373" width="16.6640625" style="549" customWidth="1"/>
    <col min="14374" max="14374" width="17.33203125" style="549" customWidth="1"/>
    <col min="14375" max="14375" width="15.5546875" style="549" customWidth="1"/>
    <col min="14376" max="14376" width="0" style="549" hidden="1"/>
    <col min="14377" max="14377" width="16.6640625" style="549" customWidth="1"/>
    <col min="14378" max="14378" width="17.44140625" style="549" customWidth="1"/>
    <col min="14379" max="14380" width="0" style="549" hidden="1"/>
    <col min="14381" max="14383" width="15.33203125" style="549" customWidth="1"/>
    <col min="14384" max="14384" width="17" style="549" customWidth="1"/>
    <col min="14385" max="14385" width="0" style="549" hidden="1"/>
    <col min="14386" max="14387" width="15.5546875" style="549" customWidth="1"/>
    <col min="14388" max="14388" width="13.6640625" style="549" customWidth="1"/>
    <col min="14389" max="14389" width="9" style="549" customWidth="1"/>
    <col min="14390" max="14390" width="49.88671875" style="549" customWidth="1"/>
    <col min="14391" max="14391" width="0" style="549" hidden="1"/>
    <col min="14392" max="14393" width="15.88671875" style="549" customWidth="1"/>
    <col min="14394" max="14394" width="14.5546875" style="549" customWidth="1"/>
    <col min="14395" max="14395" width="16.33203125" style="549" customWidth="1"/>
    <col min="14396" max="14396" width="18.109375" style="549" customWidth="1"/>
    <col min="14397" max="14397" width="14.109375" style="549" customWidth="1"/>
    <col min="14398" max="14624" width="0" style="549" hidden="1"/>
    <col min="14625" max="14625" width="7.5546875" style="549" customWidth="1"/>
    <col min="14626" max="14626" width="36.77734375" style="549" customWidth="1"/>
    <col min="14627" max="14628" width="0" style="549" hidden="1"/>
    <col min="14629" max="14629" width="16.6640625" style="549" customWidth="1"/>
    <col min="14630" max="14630" width="17.33203125" style="549" customWidth="1"/>
    <col min="14631" max="14631" width="15.5546875" style="549" customWidth="1"/>
    <col min="14632" max="14632" width="0" style="549" hidden="1"/>
    <col min="14633" max="14633" width="16.6640625" style="549" customWidth="1"/>
    <col min="14634" max="14634" width="17.44140625" style="549" customWidth="1"/>
    <col min="14635" max="14636" width="0" style="549" hidden="1"/>
    <col min="14637" max="14639" width="15.33203125" style="549" customWidth="1"/>
    <col min="14640" max="14640" width="17" style="549" customWidth="1"/>
    <col min="14641" max="14641" width="0" style="549" hidden="1"/>
    <col min="14642" max="14643" width="15.5546875" style="549" customWidth="1"/>
    <col min="14644" max="14644" width="13.6640625" style="549" customWidth="1"/>
    <col min="14645" max="14645" width="9" style="549" customWidth="1"/>
    <col min="14646" max="14646" width="49.88671875" style="549" customWidth="1"/>
    <col min="14647" max="14647" width="0" style="549" hidden="1"/>
    <col min="14648" max="14649" width="15.88671875" style="549" customWidth="1"/>
    <col min="14650" max="14650" width="14.5546875" style="549" customWidth="1"/>
    <col min="14651" max="14651" width="16.33203125" style="549" customWidth="1"/>
    <col min="14652" max="14652" width="18.109375" style="549" customWidth="1"/>
    <col min="14653" max="14653" width="14.109375" style="549" customWidth="1"/>
    <col min="14654" max="14880" width="0" style="549" hidden="1"/>
    <col min="14881" max="14881" width="7.5546875" style="549" customWidth="1"/>
    <col min="14882" max="14882" width="36.77734375" style="549" customWidth="1"/>
    <col min="14883" max="14884" width="0" style="549" hidden="1"/>
    <col min="14885" max="14885" width="16.6640625" style="549" customWidth="1"/>
    <col min="14886" max="14886" width="17.33203125" style="549" customWidth="1"/>
    <col min="14887" max="14887" width="15.5546875" style="549" customWidth="1"/>
    <col min="14888" max="14888" width="0" style="549" hidden="1"/>
    <col min="14889" max="14889" width="16.6640625" style="549" customWidth="1"/>
    <col min="14890" max="14890" width="17.44140625" style="549" customWidth="1"/>
    <col min="14891" max="14892" width="0" style="549" hidden="1"/>
    <col min="14893" max="14895" width="15.33203125" style="549" customWidth="1"/>
    <col min="14896" max="14896" width="17" style="549" customWidth="1"/>
    <col min="14897" max="14897" width="0" style="549" hidden="1"/>
    <col min="14898" max="14899" width="15.5546875" style="549" customWidth="1"/>
    <col min="14900" max="14900" width="13.6640625" style="549" customWidth="1"/>
    <col min="14901" max="14901" width="9" style="549" customWidth="1"/>
    <col min="14902" max="14902" width="49.88671875" style="549" customWidth="1"/>
    <col min="14903" max="14903" width="0" style="549" hidden="1"/>
    <col min="14904" max="14905" width="15.88671875" style="549" customWidth="1"/>
    <col min="14906" max="14906" width="14.5546875" style="549" customWidth="1"/>
    <col min="14907" max="14907" width="16.33203125" style="549" customWidth="1"/>
    <col min="14908" max="14908" width="18.109375" style="549" customWidth="1"/>
    <col min="14909" max="14909" width="14.109375" style="549" customWidth="1"/>
    <col min="14910" max="15136" width="0" style="549" hidden="1"/>
    <col min="15137" max="15137" width="7.5546875" style="549" customWidth="1"/>
    <col min="15138" max="15138" width="36.77734375" style="549" customWidth="1"/>
    <col min="15139" max="15140" width="0" style="549" hidden="1"/>
    <col min="15141" max="15141" width="16.6640625" style="549" customWidth="1"/>
    <col min="15142" max="15142" width="17.33203125" style="549" customWidth="1"/>
    <col min="15143" max="15143" width="15.5546875" style="549" customWidth="1"/>
    <col min="15144" max="15144" width="0" style="549" hidden="1"/>
    <col min="15145" max="15145" width="16.6640625" style="549" customWidth="1"/>
    <col min="15146" max="15146" width="17.44140625" style="549" customWidth="1"/>
    <col min="15147" max="15148" width="0" style="549" hidden="1"/>
    <col min="15149" max="15151" width="15.33203125" style="549" customWidth="1"/>
    <col min="15152" max="15152" width="17" style="549" customWidth="1"/>
    <col min="15153" max="15153" width="0" style="549" hidden="1"/>
    <col min="15154" max="15155" width="15.5546875" style="549" customWidth="1"/>
    <col min="15156" max="15156" width="13.6640625" style="549" customWidth="1"/>
    <col min="15157" max="15157" width="9" style="549" customWidth="1"/>
    <col min="15158" max="15158" width="49.88671875" style="549" customWidth="1"/>
    <col min="15159" max="15159" width="0" style="549" hidden="1"/>
    <col min="15160" max="15161" width="15.88671875" style="549" customWidth="1"/>
    <col min="15162" max="15162" width="14.5546875" style="549" customWidth="1"/>
    <col min="15163" max="15163" width="16.33203125" style="549" customWidth="1"/>
    <col min="15164" max="15164" width="18.109375" style="549" customWidth="1"/>
    <col min="15165" max="15165" width="14.109375" style="549" customWidth="1"/>
    <col min="15166" max="15392" width="0" style="549" hidden="1"/>
    <col min="15393" max="15393" width="7.5546875" style="549" customWidth="1"/>
    <col min="15394" max="15394" width="36.77734375" style="549" customWidth="1"/>
    <col min="15395" max="15396" width="0" style="549" hidden="1"/>
    <col min="15397" max="15397" width="16.6640625" style="549" customWidth="1"/>
    <col min="15398" max="15398" width="17.33203125" style="549" customWidth="1"/>
    <col min="15399" max="15399" width="15.5546875" style="549" customWidth="1"/>
    <col min="15400" max="15400" width="0" style="549" hidden="1"/>
    <col min="15401" max="15401" width="16.6640625" style="549" customWidth="1"/>
    <col min="15402" max="15402" width="17.44140625" style="549" customWidth="1"/>
    <col min="15403" max="15404" width="0" style="549" hidden="1"/>
    <col min="15405" max="15407" width="15.33203125" style="549" customWidth="1"/>
    <col min="15408" max="15408" width="17" style="549" customWidth="1"/>
    <col min="15409" max="15409" width="0" style="549" hidden="1"/>
    <col min="15410" max="15411" width="15.5546875" style="549" customWidth="1"/>
    <col min="15412" max="15412" width="13.6640625" style="549" customWidth="1"/>
    <col min="15413" max="15413" width="9" style="549" customWidth="1"/>
    <col min="15414" max="15414" width="49.88671875" style="549" customWidth="1"/>
    <col min="15415" max="15415" width="0" style="549" hidden="1"/>
    <col min="15416" max="15417" width="15.88671875" style="549" customWidth="1"/>
    <col min="15418" max="15418" width="14.5546875" style="549" customWidth="1"/>
    <col min="15419" max="15419" width="16.33203125" style="549" customWidth="1"/>
    <col min="15420" max="15420" width="18.109375" style="549" customWidth="1"/>
    <col min="15421" max="15421" width="14.109375" style="549" customWidth="1"/>
    <col min="15422" max="15648" width="0" style="549" hidden="1"/>
    <col min="15649" max="15649" width="7.5546875" style="549" customWidth="1"/>
    <col min="15650" max="15650" width="36.77734375" style="549" customWidth="1"/>
    <col min="15651" max="15652" width="0" style="549" hidden="1"/>
    <col min="15653" max="15653" width="16.6640625" style="549" customWidth="1"/>
    <col min="15654" max="15654" width="17.33203125" style="549" customWidth="1"/>
    <col min="15655" max="15655" width="15.5546875" style="549" customWidth="1"/>
    <col min="15656" max="15656" width="0" style="549" hidden="1"/>
    <col min="15657" max="15657" width="16.6640625" style="549" customWidth="1"/>
    <col min="15658" max="15658" width="17.44140625" style="549" customWidth="1"/>
    <col min="15659" max="15660" width="0" style="549" hidden="1"/>
    <col min="15661" max="15663" width="15.33203125" style="549" customWidth="1"/>
    <col min="15664" max="15664" width="17" style="549" customWidth="1"/>
    <col min="15665" max="15665" width="0" style="549" hidden="1"/>
    <col min="15666" max="15667" width="15.5546875" style="549" customWidth="1"/>
    <col min="15668" max="15668" width="13.6640625" style="549" customWidth="1"/>
    <col min="15669" max="15669" width="9" style="549" customWidth="1"/>
    <col min="15670" max="15670" width="49.88671875" style="549" customWidth="1"/>
    <col min="15671" max="15671" width="0" style="549" hidden="1"/>
    <col min="15672" max="15673" width="15.88671875" style="549" customWidth="1"/>
    <col min="15674" max="15674" width="14.5546875" style="549" customWidth="1"/>
    <col min="15675" max="15675" width="16.33203125" style="549" customWidth="1"/>
    <col min="15676" max="15676" width="18.109375" style="549" customWidth="1"/>
    <col min="15677" max="15677" width="14.109375" style="549" customWidth="1"/>
    <col min="15678" max="15904" width="0" style="549" hidden="1"/>
    <col min="15905" max="15905" width="7.5546875" style="549" customWidth="1"/>
    <col min="15906" max="15906" width="36.77734375" style="549" customWidth="1"/>
    <col min="15907" max="15908" width="0" style="549" hidden="1"/>
    <col min="15909" max="15909" width="16.6640625" style="549" customWidth="1"/>
    <col min="15910" max="15910" width="17.33203125" style="549" customWidth="1"/>
    <col min="15911" max="15911" width="15.5546875" style="549" customWidth="1"/>
    <col min="15912" max="15912" width="0" style="549" hidden="1"/>
    <col min="15913" max="15913" width="16.6640625" style="549" customWidth="1"/>
    <col min="15914" max="15914" width="17.44140625" style="549" customWidth="1"/>
    <col min="15915" max="15916" width="0" style="549" hidden="1"/>
    <col min="15917" max="15919" width="15.33203125" style="549" customWidth="1"/>
    <col min="15920" max="15920" width="17" style="549" customWidth="1"/>
    <col min="15921" max="15921" width="0" style="549" hidden="1"/>
    <col min="15922" max="15923" width="15.5546875" style="549" customWidth="1"/>
    <col min="15924" max="15924" width="13.6640625" style="549" customWidth="1"/>
    <col min="15925" max="15925" width="9" style="549" customWidth="1"/>
    <col min="15926" max="15926" width="49.88671875" style="549" customWidth="1"/>
    <col min="15927" max="15927" width="0" style="549" hidden="1"/>
    <col min="15928" max="15929" width="15.88671875" style="549" customWidth="1"/>
    <col min="15930" max="15930" width="14.5546875" style="549" customWidth="1"/>
    <col min="15931" max="15931" width="16.33203125" style="549" customWidth="1"/>
    <col min="15932" max="15932" width="18.109375" style="549" customWidth="1"/>
    <col min="15933" max="15933" width="14.109375" style="549" customWidth="1"/>
    <col min="15934" max="16384" width="0" style="549" hidden="1"/>
  </cols>
  <sheetData>
    <row r="1" spans="1:44" ht="24.75" customHeight="1">
      <c r="A1" s="774" t="s">
        <v>224</v>
      </c>
      <c r="B1" s="774"/>
      <c r="C1" s="774"/>
      <c r="D1" s="774"/>
      <c r="E1" s="774"/>
      <c r="F1" s="774"/>
      <c r="G1" s="774"/>
      <c r="H1" s="774"/>
      <c r="I1" s="774"/>
      <c r="J1" s="774"/>
      <c r="K1" s="774"/>
      <c r="L1" s="774"/>
      <c r="M1" s="774"/>
      <c r="N1" s="547"/>
      <c r="O1" s="548"/>
      <c r="P1" s="548"/>
      <c r="Q1" s="548"/>
      <c r="R1" s="548"/>
      <c r="S1" s="548"/>
      <c r="T1" s="548"/>
      <c r="U1" s="420"/>
      <c r="V1" s="639"/>
      <c r="W1" s="639"/>
      <c r="X1" s="420"/>
      <c r="Y1" s="420"/>
      <c r="Z1" s="639"/>
      <c r="AA1" s="546"/>
      <c r="AB1" s="546"/>
      <c r="AC1" s="547"/>
      <c r="AD1" s="420"/>
      <c r="AE1" s="639"/>
      <c r="AF1" s="639"/>
      <c r="AG1" s="420"/>
      <c r="AH1" s="420"/>
      <c r="AI1" s="546"/>
      <c r="AJ1" s="546"/>
      <c r="AK1" s="546"/>
      <c r="AL1" s="650"/>
      <c r="AM1" s="650"/>
      <c r="AN1" s="659"/>
    </row>
    <row r="2" spans="1:44" ht="24.75" customHeight="1">
      <c r="A2" s="651" t="s">
        <v>178</v>
      </c>
      <c r="B2" s="550"/>
      <c r="C2" s="550"/>
      <c r="D2" s="550"/>
      <c r="E2" s="550"/>
      <c r="F2" s="551"/>
      <c r="G2" s="552"/>
      <c r="H2" s="726"/>
      <c r="I2" s="553"/>
      <c r="J2" s="554"/>
      <c r="K2" s="555"/>
      <c r="L2" s="555"/>
      <c r="M2" s="554"/>
      <c r="N2" s="554"/>
      <c r="O2" s="556"/>
      <c r="P2" s="556"/>
      <c r="Q2" s="556"/>
      <c r="R2" s="556"/>
      <c r="S2" s="556"/>
      <c r="T2" s="556"/>
      <c r="U2" s="421"/>
      <c r="V2" s="640"/>
      <c r="W2" s="640"/>
      <c r="X2" s="421"/>
      <c r="Y2" s="421"/>
      <c r="Z2" s="640"/>
      <c r="AA2" s="651"/>
      <c r="AB2" s="550"/>
      <c r="AC2" s="554"/>
      <c r="AD2" s="421"/>
      <c r="AE2" s="640"/>
      <c r="AF2" s="640"/>
      <c r="AG2" s="421"/>
      <c r="AH2" s="421"/>
      <c r="AI2" s="550"/>
      <c r="AJ2" s="550"/>
      <c r="AK2" s="550"/>
      <c r="AL2" s="652"/>
      <c r="AM2" s="652"/>
      <c r="AN2" s="659"/>
    </row>
    <row r="3" spans="1:44" ht="26.25" customHeight="1">
      <c r="A3" s="638" t="s">
        <v>43</v>
      </c>
      <c r="B3" s="557"/>
      <c r="C3" s="558"/>
      <c r="D3" s="558"/>
      <c r="E3" s="558"/>
      <c r="F3" s="558"/>
      <c r="G3" s="559"/>
      <c r="H3" s="727"/>
      <c r="I3" s="560"/>
      <c r="J3" s="561"/>
      <c r="K3" s="562"/>
      <c r="L3" s="562"/>
      <c r="M3" s="561"/>
      <c r="N3" s="561"/>
      <c r="O3" s="560"/>
      <c r="P3" s="560"/>
      <c r="Q3" s="560"/>
      <c r="R3" s="560"/>
      <c r="S3" s="560"/>
      <c r="T3" s="560"/>
      <c r="U3" s="422"/>
      <c r="V3" s="641"/>
      <c r="W3" s="641"/>
      <c r="X3" s="422"/>
      <c r="Y3" s="422"/>
      <c r="Z3" s="641"/>
      <c r="AA3" s="653"/>
      <c r="AB3" s="653"/>
      <c r="AC3" s="561"/>
      <c r="AD3" s="422"/>
      <c r="AE3" s="641"/>
      <c r="AF3" s="641"/>
      <c r="AG3" s="422"/>
      <c r="AH3" s="422"/>
      <c r="AI3" s="654"/>
      <c r="AJ3" s="655"/>
      <c r="AK3" s="655"/>
      <c r="AL3" s="656"/>
      <c r="AM3" s="658"/>
      <c r="AN3" s="659"/>
    </row>
    <row r="4" spans="1:44" ht="26.4" customHeight="1" thickBot="1">
      <c r="A4" s="566"/>
      <c r="B4" s="566"/>
      <c r="C4" s="558"/>
      <c r="D4" s="558"/>
      <c r="E4" s="558"/>
      <c r="F4" s="558"/>
      <c r="G4" s="559"/>
      <c r="H4" s="727"/>
      <c r="I4" s="560"/>
      <c r="J4" s="561"/>
      <c r="K4" s="559"/>
      <c r="L4" s="559"/>
      <c r="M4" s="561"/>
      <c r="N4" s="561"/>
      <c r="O4" s="560"/>
      <c r="P4" s="560"/>
      <c r="Q4" s="560"/>
      <c r="R4" s="560"/>
      <c r="S4" s="560"/>
      <c r="T4" s="560"/>
      <c r="U4" s="423" t="s">
        <v>200</v>
      </c>
      <c r="V4" s="424" t="s">
        <v>201</v>
      </c>
      <c r="W4" s="660">
        <v>0.03</v>
      </c>
      <c r="X4" s="425"/>
      <c r="Y4" s="422"/>
      <c r="Z4" s="422"/>
      <c r="AA4" s="657">
        <v>0.05</v>
      </c>
      <c r="AB4" s="657">
        <v>0.1</v>
      </c>
      <c r="AC4" s="561"/>
      <c r="AD4" s="423" t="s">
        <v>200</v>
      </c>
      <c r="AE4" s="424" t="s">
        <v>201</v>
      </c>
      <c r="AF4" s="425">
        <v>0.03</v>
      </c>
      <c r="AG4" s="422"/>
      <c r="AH4" s="685">
        <v>0.25</v>
      </c>
      <c r="AI4" s="654"/>
      <c r="AJ4" s="655"/>
      <c r="AK4" s="655"/>
      <c r="AL4" s="656"/>
      <c r="AM4" s="658"/>
      <c r="AN4" s="659"/>
    </row>
    <row r="5" spans="1:44" ht="24.6" customHeight="1" thickBot="1">
      <c r="A5" s="567" t="s">
        <v>200</v>
      </c>
      <c r="B5" s="567" t="s">
        <v>200</v>
      </c>
      <c r="C5" s="567" t="s">
        <v>200</v>
      </c>
      <c r="D5" s="567" t="s">
        <v>200</v>
      </c>
      <c r="E5" s="567" t="s">
        <v>201</v>
      </c>
      <c r="F5" s="567" t="s">
        <v>200</v>
      </c>
      <c r="G5" s="567" t="s">
        <v>200</v>
      </c>
      <c r="H5" s="727"/>
      <c r="I5" s="567" t="s">
        <v>200</v>
      </c>
      <c r="J5" s="567" t="s">
        <v>200</v>
      </c>
      <c r="K5" s="568" t="s">
        <v>201</v>
      </c>
      <c r="L5" s="569">
        <v>0.03</v>
      </c>
      <c r="M5" s="561"/>
      <c r="N5" s="561"/>
      <c r="O5" s="560">
        <v>12</v>
      </c>
      <c r="P5" s="560"/>
      <c r="Q5" s="560"/>
      <c r="R5" s="560"/>
      <c r="S5" s="560"/>
      <c r="T5" s="560"/>
      <c r="U5" s="771" t="s">
        <v>137</v>
      </c>
      <c r="V5" s="772"/>
      <c r="W5" s="772"/>
      <c r="X5" s="772"/>
      <c r="Y5" s="772"/>
      <c r="Z5" s="772"/>
      <c r="AA5" s="772"/>
      <c r="AB5" s="772"/>
      <c r="AC5" s="773"/>
      <c r="AD5" s="768" t="s">
        <v>140</v>
      </c>
      <c r="AE5" s="769"/>
      <c r="AF5" s="769"/>
      <c r="AG5" s="769"/>
      <c r="AH5" s="770"/>
      <c r="AI5" s="654"/>
      <c r="AJ5" s="655"/>
      <c r="AK5" s="655"/>
      <c r="AL5" s="656"/>
      <c r="AM5" s="658"/>
      <c r="AN5" s="659"/>
    </row>
    <row r="6" spans="1:44" s="584" customFormat="1" ht="98.4" customHeight="1" thickBot="1">
      <c r="A6" s="570" t="s">
        <v>0</v>
      </c>
      <c r="B6" s="570" t="s">
        <v>39</v>
      </c>
      <c r="C6" s="571" t="s">
        <v>1</v>
      </c>
      <c r="D6" s="572" t="s">
        <v>6</v>
      </c>
      <c r="E6" s="573" t="s">
        <v>44</v>
      </c>
      <c r="F6" s="574" t="s">
        <v>193</v>
      </c>
      <c r="G6" s="575" t="s">
        <v>174</v>
      </c>
      <c r="H6" s="847" t="s">
        <v>223</v>
      </c>
      <c r="I6" s="576" t="s">
        <v>36</v>
      </c>
      <c r="J6" s="577" t="s">
        <v>195</v>
      </c>
      <c r="K6" s="644" t="s">
        <v>204</v>
      </c>
      <c r="L6" s="644" t="s">
        <v>199</v>
      </c>
      <c r="M6" s="578" t="s">
        <v>142</v>
      </c>
      <c r="N6" s="579" t="s">
        <v>206</v>
      </c>
      <c r="O6" s="835" t="s">
        <v>194</v>
      </c>
      <c r="P6" s="836" t="s">
        <v>257</v>
      </c>
      <c r="Q6" s="837" t="s">
        <v>258</v>
      </c>
      <c r="R6" s="838" t="s">
        <v>259</v>
      </c>
      <c r="S6" s="837" t="s">
        <v>260</v>
      </c>
      <c r="T6" s="839" t="s">
        <v>261</v>
      </c>
      <c r="U6" s="682" t="s">
        <v>205</v>
      </c>
      <c r="V6" s="647" t="s">
        <v>203</v>
      </c>
      <c r="W6" s="647" t="s">
        <v>202</v>
      </c>
      <c r="X6" s="682" t="s">
        <v>134</v>
      </c>
      <c r="Y6" s="683" t="s">
        <v>135</v>
      </c>
      <c r="Z6" s="683" t="s">
        <v>136</v>
      </c>
      <c r="AA6" s="580" t="s">
        <v>138</v>
      </c>
      <c r="AB6" s="580" t="s">
        <v>139</v>
      </c>
      <c r="AC6" s="418" t="s">
        <v>207</v>
      </c>
      <c r="AD6" s="684" t="s">
        <v>147</v>
      </c>
      <c r="AE6" s="647" t="s">
        <v>210</v>
      </c>
      <c r="AF6" s="647" t="s">
        <v>211</v>
      </c>
      <c r="AG6" s="682" t="s">
        <v>141</v>
      </c>
      <c r="AH6" s="419" t="s">
        <v>208</v>
      </c>
      <c r="AI6" s="581" t="s">
        <v>106</v>
      </c>
      <c r="AJ6" s="582" t="s">
        <v>38</v>
      </c>
      <c r="AK6" s="583" t="s">
        <v>42</v>
      </c>
      <c r="AL6" s="583" t="s">
        <v>7</v>
      </c>
      <c r="AM6" s="752" t="s">
        <v>256</v>
      </c>
    </row>
    <row r="7" spans="1:44" s="621" customFormat="1" ht="27" customHeight="1">
      <c r="A7" s="673">
        <v>1</v>
      </c>
      <c r="B7" s="674">
        <v>120000066590</v>
      </c>
      <c r="C7" s="677" t="s">
        <v>225</v>
      </c>
      <c r="D7" s="675" t="s">
        <v>75</v>
      </c>
      <c r="E7" s="675" t="s">
        <v>46</v>
      </c>
      <c r="F7" s="833">
        <v>45292</v>
      </c>
      <c r="G7" s="676">
        <v>36</v>
      </c>
      <c r="H7" s="834" t="s">
        <v>265</v>
      </c>
      <c r="I7" s="680">
        <v>45292</v>
      </c>
      <c r="J7" s="678">
        <v>8670</v>
      </c>
      <c r="K7" s="645" t="s">
        <v>197</v>
      </c>
      <c r="L7" s="646">
        <f>IF(Table1351452010[[#This Row],[หัก ณ ที่จ่าย
(ค่าบริการ)]]="มี",Table1351452010[[#This Row],[ค่าบริการเฉลี่ยต่อเดือน]]*3%,0)</f>
        <v>260.09999999999997</v>
      </c>
      <c r="M7" s="585">
        <f>Table1351452010[[#This Row],[ค่าบริการเฉลี่ยต่อเดือน]]-Table1351452010[[#This Row],[มูลค่าหัก 3%]]</f>
        <v>8409.9</v>
      </c>
      <c r="N7" s="586">
        <f>Table1351452010[[#This Row],[ค่าบริการเฉลียรายเดือนตาม Package
(เรียกเก็บสุทธิ)]]</f>
        <v>8409.9</v>
      </c>
      <c r="O7" s="840"/>
      <c r="P7" s="841"/>
      <c r="Q7" s="842"/>
      <c r="R7" s="843"/>
      <c r="S7" s="843"/>
      <c r="T7" s="844"/>
      <c r="U7" s="679">
        <v>70000</v>
      </c>
      <c r="V7" s="648" t="s">
        <v>197</v>
      </c>
      <c r="W7" s="649">
        <f>IF(Table1351452010[[#This Row],[หัก ณ ที่จ่าย
(ค่าติตั้ง)]]="มี",Table1351452010[[#This Row],[ค่าเชื่อมสัญญาณ/
ค่าติดตั้ง/
ค่าขายอุปกรณ์]]*$W$4,0)</f>
        <v>2100</v>
      </c>
      <c r="X7" s="397">
        <f>Table1351452010[[#This Row],[ค่าเชื่อมสัญญาณ/
ค่าติดตั้ง/
ค่าขายอุปกรณ์]]-Table1351452010[[#This Row],[มูลค่าหัก 3%
(ค่าติดตั้ง)]]</f>
        <v>67900</v>
      </c>
      <c r="Y7" s="331">
        <v>30808</v>
      </c>
      <c r="Z7" s="723">
        <f>Table1351452010[[#This Row],[ค่าเชื่อมสัญญาณ/
ค่าติดตั้ง/
ค่าขายอุปกรณ์
(เรียกเก็บสุทธิ)]]-Table1351452010[[#This Row],[ต้นทุน]]</f>
        <v>37092</v>
      </c>
      <c r="AA7" s="587" t="str">
        <f>IF(Table1351452010[[#This Row],[ส่วนต่างกำไร]]&lt;(Table1351452010[[#This Row],[ต้นทุน]]*5%),Table1351452010[[#This Row],[ค่าเชื่อมสัญญาณ/
ค่าติดตั้ง/
ค่าขายอุปกรณ์
(เรียกเก็บสุทธิ)]]*$AA$4,"0")</f>
        <v>0</v>
      </c>
      <c r="AB7" s="587">
        <f>IF(Table1351452010[[#This Row],[ส่วนต่างกำไร]]&gt;=(Table1351452010[[#This Row],[ต้นทุน]]*5%),Table1351452010[[#This Row],[ค่าเชื่อมสัญญาณ/
ค่าติดตั้ง/
ค่าขายอุปกรณ์
(เรียกเก็บสุทธิ)]]*$AB$4,"0")</f>
        <v>6790</v>
      </c>
      <c r="AC7" s="668">
        <f>SUM(Table1351452010[[#This Row],[คอมฯ
 5%]:[คอมฯ
10%]])</f>
        <v>6790</v>
      </c>
      <c r="AD7" s="681"/>
      <c r="AE7" s="648"/>
      <c r="AF7" s="672">
        <f>IF(Table1351452010[[#This Row],[หัก ณ ที่จ่าย
(ค่าเชื่อมสัญญาณ)]]="มี",Table1351452010[[#This Row],[ค่าเชื่อมสัญญาณ]]*$AF$4,0)</f>
        <v>0</v>
      </c>
      <c r="AG7" s="398">
        <f>Table1351452010[[#This Row],[ค่าเชื่อมสัญญาณ]]-Table1351452010[[#This Row],[มูลค่าหัก 3%
(ค่าเชื่อมสัญญาณ)]]</f>
        <v>0</v>
      </c>
      <c r="AH7" s="403">
        <f>Table1351452010[[#This Row],[ค่าเชื่อมสัญญาณ
(เรียกเก็บสุทธิ)]]*$AH$4</f>
        <v>0</v>
      </c>
      <c r="AI7" s="588">
        <f>Table1351452010[[#This Row],[Total
รายการเบิก
คอมขาย
(1)]]+Table1351452010[[#This Row],[Total
ค่าเชื่มสัญญาณ/ค่าติดตั้ง/
ค่าขายอุปกรณ์
(2)]]+Table1351452010[[#This Row],[Total 
คอมฯค่าเชื่อมสัญญาณ
(3)]]</f>
        <v>15199.9</v>
      </c>
      <c r="AJ7" s="589" t="s">
        <v>232</v>
      </c>
      <c r="AK7" s="589" t="s">
        <v>235</v>
      </c>
      <c r="AL7" s="590" t="s">
        <v>212</v>
      </c>
      <c r="AM7" s="549" t="s">
        <v>255</v>
      </c>
      <c r="AO7" s="755" t="s">
        <v>242</v>
      </c>
      <c r="AP7" s="366"/>
      <c r="AQ7" s="366"/>
      <c r="AR7" s="366"/>
    </row>
    <row r="8" spans="1:44" s="621" customFormat="1" ht="27" customHeight="1">
      <c r="A8" s="591">
        <v>8.1928571428571502</v>
      </c>
      <c r="B8" s="592"/>
      <c r="C8" s="593" t="s">
        <v>226</v>
      </c>
      <c r="D8" s="594"/>
      <c r="E8" s="594"/>
      <c r="F8" s="745"/>
      <c r="G8" s="622"/>
      <c r="H8" s="728"/>
      <c r="I8" s="596"/>
      <c r="J8" s="594"/>
      <c r="K8" s="597"/>
      <c r="L8" s="597"/>
      <c r="M8" s="598"/>
      <c r="N8" s="599"/>
      <c r="O8" s="600"/>
      <c r="P8" s="759"/>
      <c r="Q8" s="762"/>
      <c r="R8" s="757"/>
      <c r="S8" s="757"/>
      <c r="T8" s="753"/>
      <c r="U8" s="392"/>
      <c r="V8" s="410"/>
      <c r="W8" s="412"/>
      <c r="X8" s="390"/>
      <c r="Y8" s="393"/>
      <c r="Z8" s="724">
        <f t="shared" ref="Z8" si="0">Z7/Y7</f>
        <v>1.2039729940275252</v>
      </c>
      <c r="AA8" s="642"/>
      <c r="AB8" s="642"/>
      <c r="AC8" s="669"/>
      <c r="AD8" s="407"/>
      <c r="AE8" s="410"/>
      <c r="AF8" s="410"/>
      <c r="AG8" s="394"/>
      <c r="AH8" s="404"/>
      <c r="AI8" s="601"/>
      <c r="AJ8" s="602" t="s">
        <v>233</v>
      </c>
      <c r="AK8" s="602"/>
      <c r="AL8" s="603"/>
      <c r="AM8" s="549"/>
      <c r="AO8" s="775" t="s">
        <v>226</v>
      </c>
      <c r="AP8" s="775"/>
      <c r="AQ8" s="775"/>
      <c r="AR8" s="775"/>
    </row>
    <row r="9" spans="1:44" s="621" customFormat="1" ht="27" customHeight="1">
      <c r="A9" s="591">
        <v>9.4000000000000092</v>
      </c>
      <c r="B9" s="591"/>
      <c r="C9" s="742" t="s">
        <v>237</v>
      </c>
      <c r="D9" s="605"/>
      <c r="E9" s="605"/>
      <c r="F9" s="595"/>
      <c r="G9" s="622"/>
      <c r="H9" s="728"/>
      <c r="I9" s="596"/>
      <c r="J9" s="594"/>
      <c r="K9" s="597"/>
      <c r="L9" s="597"/>
      <c r="M9" s="594"/>
      <c r="N9" s="606"/>
      <c r="O9" s="607"/>
      <c r="P9" s="760"/>
      <c r="Q9" s="763"/>
      <c r="R9" s="758"/>
      <c r="S9" s="758"/>
      <c r="T9" s="754"/>
      <c r="U9" s="392"/>
      <c r="V9" s="410"/>
      <c r="W9" s="412"/>
      <c r="X9" s="390"/>
      <c r="Y9" s="393"/>
      <c r="Z9" s="393"/>
      <c r="AA9" s="642"/>
      <c r="AB9" s="642"/>
      <c r="AC9" s="670"/>
      <c r="AD9" s="408"/>
      <c r="AE9" s="410"/>
      <c r="AF9" s="410"/>
      <c r="AG9" s="394"/>
      <c r="AH9" s="404"/>
      <c r="AI9" s="601"/>
      <c r="AJ9" s="602"/>
      <c r="AK9" s="602"/>
      <c r="AL9" s="603"/>
      <c r="AM9" s="549"/>
      <c r="AO9" s="748"/>
      <c r="AP9" s="748"/>
      <c r="AQ9" s="749">
        <v>0.3</v>
      </c>
      <c r="AR9" s="749">
        <v>0.7</v>
      </c>
    </row>
    <row r="10" spans="1:44" s="621" customFormat="1" ht="27" customHeight="1" thickBot="1">
      <c r="A10" s="608">
        <v>10.6071428571429</v>
      </c>
      <c r="B10" s="608"/>
      <c r="C10" s="743"/>
      <c r="D10" s="610"/>
      <c r="E10" s="610"/>
      <c r="F10" s="611"/>
      <c r="G10" s="612"/>
      <c r="H10" s="729"/>
      <c r="I10" s="613"/>
      <c r="J10" s="614"/>
      <c r="K10" s="615"/>
      <c r="L10" s="615"/>
      <c r="M10" s="614"/>
      <c r="N10" s="616"/>
      <c r="O10" s="617"/>
      <c r="P10" s="761"/>
      <c r="Q10" s="764"/>
      <c r="R10" s="765"/>
      <c r="S10" s="765"/>
      <c r="T10" s="766"/>
      <c r="U10" s="395"/>
      <c r="V10" s="411"/>
      <c r="W10" s="413"/>
      <c r="X10" s="391"/>
      <c r="Y10" s="389"/>
      <c r="Z10" s="725"/>
      <c r="AA10" s="643"/>
      <c r="AB10" s="643"/>
      <c r="AC10" s="671"/>
      <c r="AD10" s="409"/>
      <c r="AE10" s="411"/>
      <c r="AF10" s="411"/>
      <c r="AG10" s="396"/>
      <c r="AH10" s="405"/>
      <c r="AI10" s="618"/>
      <c r="AJ10" s="619"/>
      <c r="AK10" s="619"/>
      <c r="AL10" s="620"/>
      <c r="AM10" s="751"/>
      <c r="AO10" s="747" t="s">
        <v>2</v>
      </c>
      <c r="AP10" s="747" t="s">
        <v>241</v>
      </c>
      <c r="AQ10" s="747" t="s">
        <v>238</v>
      </c>
      <c r="AR10" s="747" t="s">
        <v>239</v>
      </c>
    </row>
    <row r="11" spans="1:44" s="621" customFormat="1" ht="27" customHeight="1">
      <c r="A11" s="673">
        <v>2</v>
      </c>
      <c r="B11" s="674">
        <v>120000066245</v>
      </c>
      <c r="C11" s="677" t="s">
        <v>228</v>
      </c>
      <c r="D11" s="675" t="s">
        <v>75</v>
      </c>
      <c r="E11" s="675" t="s">
        <v>46</v>
      </c>
      <c r="F11" s="833">
        <v>45292</v>
      </c>
      <c r="G11" s="676">
        <v>12</v>
      </c>
      <c r="H11" s="834" t="s">
        <v>265</v>
      </c>
      <c r="I11" s="680">
        <v>45505</v>
      </c>
      <c r="J11" s="678">
        <v>13731</v>
      </c>
      <c r="K11" s="645" t="s">
        <v>197</v>
      </c>
      <c r="L11" s="646">
        <f>IF(Table1351452010[[#This Row],[หัก ณ ที่จ่าย
(ค่าบริการ)]]="มี",Table1351452010[[#This Row],[ค่าบริการเฉลี่ยต่อเดือน]]*3%,0)</f>
        <v>411.93</v>
      </c>
      <c r="M11" s="585">
        <f>Table1351452010[[#This Row],[ค่าบริการเฉลี่ยต่อเดือน]]-Table1351452010[[#This Row],[มูลค่าหัก 3%]]</f>
        <v>13319.07</v>
      </c>
      <c r="N11" s="586">
        <f>Table1351452010[[#This Row],[ค่าบริการเฉลียรายเดือนตาม Package
(เรียกเก็บสุทธิ)]]-10902</f>
        <v>2417.0699999999997</v>
      </c>
      <c r="O11" s="840"/>
      <c r="P11" s="841"/>
      <c r="Q11" s="842"/>
      <c r="R11" s="843"/>
      <c r="S11" s="843"/>
      <c r="T11" s="844"/>
      <c r="U11" s="679"/>
      <c r="V11" s="648"/>
      <c r="W11" s="649">
        <f>IF(Table1351452010[[#This Row],[หัก ณ ที่จ่าย
(ค่าติตั้ง)]]="มี",Table1351452010[[#This Row],[ค่าเชื่อมสัญญาณ/
ค่าติดตั้ง/
ค่าขายอุปกรณ์]]*$W$4,0)</f>
        <v>0</v>
      </c>
      <c r="X11" s="397">
        <f>Table1351452010[[#This Row],[ค่าเชื่อมสัญญาณ/
ค่าติดตั้ง/
ค่าขายอุปกรณ์]]-Table1351452010[[#This Row],[มูลค่าหัก 3%
(ค่าติดตั้ง)]]</f>
        <v>0</v>
      </c>
      <c r="Y11" s="331"/>
      <c r="Z11" s="723">
        <f>Table1351452010[[#This Row],[ค่าเชื่อมสัญญาณ/
ค่าติดตั้ง/
ค่าขายอุปกรณ์
(เรียกเก็บสุทธิ)]]-Table1351452010[[#This Row],[ต้นทุน]]</f>
        <v>0</v>
      </c>
      <c r="AA11" s="587" t="str">
        <f>IF(Table1351452010[[#This Row],[ส่วนต่างกำไร]]&lt;(Table1351452010[[#This Row],[ต้นทุน]]*5%),Table1351452010[[#This Row],[ค่าเชื่อมสัญญาณ/
ค่าติดตั้ง/
ค่าขายอุปกรณ์
(เรียกเก็บสุทธิ)]]*$AA$4,"0")</f>
        <v>0</v>
      </c>
      <c r="AB11" s="587">
        <f>IF(Table1351452010[[#This Row],[ส่วนต่างกำไร]]&gt;=(Table1351452010[[#This Row],[ต้นทุน]]*5%),Table1351452010[[#This Row],[ค่าเชื่อมสัญญาณ/
ค่าติดตั้ง/
ค่าขายอุปกรณ์
(เรียกเก็บสุทธิ)]]*$AB$4,"0")</f>
        <v>0</v>
      </c>
      <c r="AC11" s="668">
        <f>SUM(Table1351452010[[#This Row],[คอมฯ
 5%]:[คอมฯ
10%]])</f>
        <v>0</v>
      </c>
      <c r="AD11" s="681"/>
      <c r="AE11" s="648"/>
      <c r="AF11" s="672">
        <f>IF(Table1351452010[[#This Row],[หัก ณ ที่จ่าย
(ค่าเชื่อมสัญญาณ)]]="มี",Table1351452010[[#This Row],[ค่าเชื่อมสัญญาณ]]*$AF$4,0)</f>
        <v>0</v>
      </c>
      <c r="AG11" s="398">
        <f>Table1351452010[[#This Row],[ค่าเชื่อมสัญญาณ]]-Table1351452010[[#This Row],[มูลค่าหัก 3%
(ค่าเชื่อมสัญญาณ)]]</f>
        <v>0</v>
      </c>
      <c r="AH11" s="403">
        <f>Table1351452010[[#This Row],[ค่าเชื่อมสัญญาณ
(เรียกเก็บสุทธิ)]]*$AH$4</f>
        <v>0</v>
      </c>
      <c r="AI11" s="588">
        <f>Table1351452010[[#This Row],[Total
รายการเบิก
คอมขาย
(1)]]+Table1351452010[[#This Row],[Total
ค่าเชื่มสัญญาณ/ค่าติดตั้ง/
ค่าขายอุปกรณ์
(2)]]+Table1351452010[[#This Row],[Total 
คอมฯค่าเชื่อมสัญญาณ
(3)]]</f>
        <v>2417.0699999999997</v>
      </c>
      <c r="AJ11" s="589" t="s">
        <v>230</v>
      </c>
      <c r="AK11" s="589" t="s">
        <v>236</v>
      </c>
      <c r="AL11" s="590" t="s">
        <v>231</v>
      </c>
      <c r="AM11" s="549" t="s">
        <v>255</v>
      </c>
      <c r="AO11" s="521" t="s">
        <v>222</v>
      </c>
      <c r="AP11" s="521">
        <v>8409.9</v>
      </c>
      <c r="AQ11" s="521">
        <f>AP11*$M$5</f>
        <v>0</v>
      </c>
      <c r="AR11" s="521">
        <f>AP11*$N$5</f>
        <v>0</v>
      </c>
    </row>
    <row r="12" spans="1:44" s="621" customFormat="1" ht="27" customHeight="1">
      <c r="A12" s="591">
        <v>13.021428571428601</v>
      </c>
      <c r="B12" s="592"/>
      <c r="C12" s="593" t="s">
        <v>227</v>
      </c>
      <c r="D12" s="594"/>
      <c r="E12" s="594" t="s">
        <v>229</v>
      </c>
      <c r="F12" s="745"/>
      <c r="G12" s="622"/>
      <c r="H12" s="728"/>
      <c r="I12" s="596"/>
      <c r="J12" s="594"/>
      <c r="K12" s="597"/>
      <c r="L12" s="597"/>
      <c r="M12" s="598"/>
      <c r="N12" s="599"/>
      <c r="O12" s="600"/>
      <c r="P12" s="759"/>
      <c r="Q12" s="762"/>
      <c r="R12" s="757"/>
      <c r="S12" s="757"/>
      <c r="T12" s="753"/>
      <c r="U12" s="392"/>
      <c r="V12" s="410"/>
      <c r="W12" s="412"/>
      <c r="X12" s="390"/>
      <c r="Y12" s="393"/>
      <c r="Z12" s="724" t="e">
        <f t="shared" ref="Z12" si="1">Z11/Y11</f>
        <v>#DIV/0!</v>
      </c>
      <c r="AA12" s="642"/>
      <c r="AB12" s="642"/>
      <c r="AC12" s="669"/>
      <c r="AD12" s="407"/>
      <c r="AE12" s="410"/>
      <c r="AF12" s="410"/>
      <c r="AG12" s="394"/>
      <c r="AH12" s="404"/>
      <c r="AI12" s="601"/>
      <c r="AJ12" s="602"/>
      <c r="AK12" s="602"/>
      <c r="AL12" s="603"/>
      <c r="AM12" s="549"/>
      <c r="AO12" s="521" t="s">
        <v>240</v>
      </c>
      <c r="AP12" s="521">
        <v>6790</v>
      </c>
      <c r="AQ12" s="521">
        <f>AP12*$M$5</f>
        <v>0</v>
      </c>
      <c r="AR12" s="521">
        <f>AP12*$N$5</f>
        <v>0</v>
      </c>
    </row>
    <row r="13" spans="1:44" s="621" customFormat="1" ht="32.4" customHeight="1">
      <c r="A13" s="591">
        <v>14.228571428571501</v>
      </c>
      <c r="B13" s="591"/>
      <c r="C13" s="744" t="s">
        <v>234</v>
      </c>
      <c r="D13" s="605"/>
      <c r="E13" s="605"/>
      <c r="F13" s="595"/>
      <c r="G13" s="622"/>
      <c r="H13" s="728"/>
      <c r="I13" s="596"/>
      <c r="J13" s="594"/>
      <c r="K13" s="597"/>
      <c r="L13" s="597"/>
      <c r="M13" s="594"/>
      <c r="N13" s="606"/>
      <c r="O13" s="607"/>
      <c r="P13" s="760"/>
      <c r="Q13" s="763"/>
      <c r="R13" s="758"/>
      <c r="S13" s="758"/>
      <c r="T13" s="754"/>
      <c r="U13" s="392"/>
      <c r="V13" s="410"/>
      <c r="W13" s="412"/>
      <c r="X13" s="390"/>
      <c r="Y13" s="393"/>
      <c r="Z13" s="393"/>
      <c r="AA13" s="642"/>
      <c r="AB13" s="642"/>
      <c r="AC13" s="670"/>
      <c r="AD13" s="408"/>
      <c r="AE13" s="410"/>
      <c r="AF13" s="410"/>
      <c r="AG13" s="394"/>
      <c r="AH13" s="404"/>
      <c r="AI13" s="601"/>
      <c r="AJ13" s="602"/>
      <c r="AK13" s="602"/>
      <c r="AL13" s="603"/>
      <c r="AM13" s="549"/>
      <c r="AO13" s="756" t="s">
        <v>227</v>
      </c>
      <c r="AP13" s="358"/>
      <c r="AQ13" s="358"/>
      <c r="AR13" s="358"/>
    </row>
    <row r="14" spans="1:44" s="621" customFormat="1" ht="27" customHeight="1" thickBot="1">
      <c r="A14" s="608">
        <v>15.435714285714299</v>
      </c>
      <c r="B14" s="608"/>
      <c r="C14" s="743"/>
      <c r="D14" s="610"/>
      <c r="E14" s="610"/>
      <c r="F14" s="611"/>
      <c r="G14" s="612"/>
      <c r="H14" s="729"/>
      <c r="I14" s="613"/>
      <c r="J14" s="614"/>
      <c r="K14" s="615"/>
      <c r="L14" s="615"/>
      <c r="M14" s="614"/>
      <c r="N14" s="616"/>
      <c r="O14" s="617"/>
      <c r="P14" s="761"/>
      <c r="Q14" s="764"/>
      <c r="R14" s="765"/>
      <c r="S14" s="765"/>
      <c r="T14" s="766"/>
      <c r="U14" s="395"/>
      <c r="V14" s="411"/>
      <c r="W14" s="413"/>
      <c r="X14" s="391"/>
      <c r="Y14" s="389"/>
      <c r="Z14" s="725"/>
      <c r="AA14" s="643"/>
      <c r="AB14" s="643"/>
      <c r="AC14" s="671"/>
      <c r="AD14" s="409"/>
      <c r="AE14" s="411"/>
      <c r="AF14" s="411"/>
      <c r="AG14" s="396"/>
      <c r="AH14" s="405"/>
      <c r="AI14" s="618"/>
      <c r="AJ14" s="619"/>
      <c r="AK14" s="619"/>
      <c r="AL14" s="620"/>
      <c r="AM14" s="751"/>
      <c r="AO14" s="748"/>
      <c r="AP14" s="748"/>
      <c r="AQ14" s="749">
        <v>1</v>
      </c>
      <c r="AR14" s="358"/>
    </row>
    <row r="15" spans="1:44" s="621" customFormat="1" ht="27" customHeight="1">
      <c r="A15" s="673">
        <v>3</v>
      </c>
      <c r="B15" s="674">
        <v>120000068861</v>
      </c>
      <c r="C15" s="677" t="s">
        <v>243</v>
      </c>
      <c r="D15" s="675" t="s">
        <v>130</v>
      </c>
      <c r="E15" s="675" t="s">
        <v>45</v>
      </c>
      <c r="F15" s="833">
        <v>45536</v>
      </c>
      <c r="G15" s="676">
        <v>24</v>
      </c>
      <c r="H15" s="834" t="s">
        <v>265</v>
      </c>
      <c r="I15" s="680">
        <v>45597</v>
      </c>
      <c r="J15" s="678">
        <v>12500</v>
      </c>
      <c r="K15" s="645" t="s">
        <v>197</v>
      </c>
      <c r="L15" s="646">
        <f>IF(Table1351452010[[#This Row],[หัก ณ ที่จ่าย
(ค่าบริการ)]]="มี",Table1351452010[[#This Row],[ค่าบริการเฉลี่ยต่อเดือน]]*3%,0)</f>
        <v>375</v>
      </c>
      <c r="M15" s="585">
        <f>Table1351452010[[#This Row],[ค่าบริการเฉลี่ยต่อเดือน]]-Table1351452010[[#This Row],[มูลค่าหัก 3%]]</f>
        <v>12125</v>
      </c>
      <c r="N15" s="586">
        <f>Table1351452010[[#This Row],[ค่าบริการเฉลียรายเดือนตาม Package
(เรียกเก็บสุทธิ)]]</f>
        <v>12125</v>
      </c>
      <c r="O15" s="840"/>
      <c r="P15" s="841"/>
      <c r="Q15" s="842"/>
      <c r="R15" s="843"/>
      <c r="S15" s="843"/>
      <c r="T15" s="844"/>
      <c r="U15" s="679">
        <v>12500</v>
      </c>
      <c r="V15" s="648" t="s">
        <v>197</v>
      </c>
      <c r="W15" s="649">
        <f>IF(Table1351452010[[#This Row],[หัก ณ ที่จ่าย
(ค่าติตั้ง)]]="มี",Table1351452010[[#This Row],[ค่าเชื่อมสัญญาณ/
ค่าติดตั้ง/
ค่าขายอุปกรณ์]]*$W$4,0)</f>
        <v>375</v>
      </c>
      <c r="X15" s="397">
        <f>Table1351452010[[#This Row],[ค่าเชื่อมสัญญาณ/
ค่าติดตั้ง/
ค่าขายอุปกรณ์]]-Table1351452010[[#This Row],[มูลค่าหัก 3%
(ค่าติดตั้ง)]]</f>
        <v>12125</v>
      </c>
      <c r="Y15" s="331">
        <v>217500</v>
      </c>
      <c r="Z15" s="723">
        <f>Table1351452010[[#This Row],[ค่าเชื่อมสัญญาณ/
ค่าติดตั้ง/
ค่าขายอุปกรณ์
(เรียกเก็บสุทธิ)]]-Table1351452010[[#This Row],[ต้นทุน]]</f>
        <v>-205375</v>
      </c>
      <c r="AA15" s="587">
        <f>IF(Table1351452010[[#This Row],[ส่วนต่างกำไร]]&lt;(Table1351452010[[#This Row],[ต้นทุน]]*5%),Table1351452010[[#This Row],[ค่าเชื่อมสัญญาณ/
ค่าติดตั้ง/
ค่าขายอุปกรณ์
(เรียกเก็บสุทธิ)]]*$AA$4,"0")</f>
        <v>606.25</v>
      </c>
      <c r="AB15" s="587" t="str">
        <f>IF(Table1351452010[[#This Row],[ส่วนต่างกำไร]]&gt;=(Table1351452010[[#This Row],[ต้นทุน]]*5%),Table1351452010[[#This Row],[ค่าเชื่อมสัญญาณ/
ค่าติดตั้ง/
ค่าขายอุปกรณ์
(เรียกเก็บสุทธิ)]]*$AB$4,"0")</f>
        <v>0</v>
      </c>
      <c r="AC15" s="668">
        <f>SUM(Table1351452010[[#This Row],[คอมฯ
 5%]:[คอมฯ
10%]])</f>
        <v>606.25</v>
      </c>
      <c r="AD15" s="681"/>
      <c r="AE15" s="648"/>
      <c r="AF15" s="672">
        <f>IF(Table1351452010[[#This Row],[หัก ณ ที่จ่าย
(ค่าเชื่อมสัญญาณ)]]="มี",Table1351452010[[#This Row],[ค่าเชื่อมสัญญาณ]]*$AF$4,0)</f>
        <v>0</v>
      </c>
      <c r="AG15" s="398">
        <f>Table1351452010[[#This Row],[ค่าเชื่อมสัญญาณ]]-Table1351452010[[#This Row],[มูลค่าหัก 3%
(ค่าเชื่อมสัญญาณ)]]</f>
        <v>0</v>
      </c>
      <c r="AH15" s="403">
        <f>Table1351452010[[#This Row],[ค่าเชื่อมสัญญาณ
(เรียกเก็บสุทธิ)]]*$AH$4</f>
        <v>0</v>
      </c>
      <c r="AI15" s="588">
        <f>Table1351452010[[#This Row],[Total
รายการเบิก
คอมขาย
(1)]]+Table1351452010[[#This Row],[Total
ค่าเชื่มสัญญาณ/ค่าติดตั้ง/
ค่าขายอุปกรณ์
(2)]]+Table1351452010[[#This Row],[Total 
คอมฯค่าเชื่อมสัญญาณ
(3)]]</f>
        <v>12731.25</v>
      </c>
      <c r="AJ15" s="589" t="s">
        <v>247</v>
      </c>
      <c r="AK15" s="589" t="s">
        <v>248</v>
      </c>
      <c r="AL15" s="590" t="s">
        <v>231</v>
      </c>
      <c r="AM15" s="549" t="s">
        <v>255</v>
      </c>
      <c r="AO15" s="747" t="s">
        <v>2</v>
      </c>
      <c r="AP15" s="747" t="s">
        <v>241</v>
      </c>
      <c r="AQ15" s="747" t="s">
        <v>238</v>
      </c>
      <c r="AR15" s="358"/>
    </row>
    <row r="16" spans="1:44" s="621" customFormat="1" ht="27" customHeight="1">
      <c r="A16" s="591">
        <v>22.678571428571502</v>
      </c>
      <c r="B16" s="592"/>
      <c r="C16" s="593" t="s">
        <v>244</v>
      </c>
      <c r="D16" s="594"/>
      <c r="E16" s="594"/>
      <c r="F16" s="595"/>
      <c r="G16" s="622"/>
      <c r="H16" s="728"/>
      <c r="I16" s="596"/>
      <c r="J16" s="594"/>
      <c r="K16" s="597"/>
      <c r="L16" s="597"/>
      <c r="M16" s="598"/>
      <c r="N16" s="599"/>
      <c r="O16" s="600"/>
      <c r="P16" s="759"/>
      <c r="Q16" s="762"/>
      <c r="R16" s="757"/>
      <c r="S16" s="757"/>
      <c r="T16" s="753"/>
      <c r="U16" s="392"/>
      <c r="V16" s="410"/>
      <c r="W16" s="412"/>
      <c r="X16" s="390"/>
      <c r="Y16" s="393"/>
      <c r="Z16" s="724">
        <f t="shared" ref="Z16" si="2">Z15/Y15</f>
        <v>-0.94425287356321841</v>
      </c>
      <c r="AA16" s="642"/>
      <c r="AB16" s="642"/>
      <c r="AC16" s="669"/>
      <c r="AD16" s="407"/>
      <c r="AE16" s="410"/>
      <c r="AF16" s="410"/>
      <c r="AG16" s="394"/>
      <c r="AH16" s="404"/>
      <c r="AI16" s="601"/>
      <c r="AJ16" s="602" t="s">
        <v>249</v>
      </c>
      <c r="AK16" s="602"/>
      <c r="AL16" s="603"/>
      <c r="AM16" s="549"/>
      <c r="AO16" s="521" t="s">
        <v>222</v>
      </c>
      <c r="AP16" s="521">
        <v>2417.0700000000002</v>
      </c>
      <c r="AQ16" s="521">
        <v>2417.0700000000002</v>
      </c>
      <c r="AR16" s="358"/>
    </row>
    <row r="17" spans="1:39" s="621" customFormat="1" ht="27" customHeight="1">
      <c r="A17" s="591">
        <v>23.8857142857143</v>
      </c>
      <c r="B17" s="591"/>
      <c r="C17" s="604"/>
      <c r="D17" s="605"/>
      <c r="E17" s="605"/>
      <c r="F17" s="595"/>
      <c r="G17" s="622"/>
      <c r="H17" s="728"/>
      <c r="I17" s="596"/>
      <c r="J17" s="594"/>
      <c r="K17" s="597"/>
      <c r="L17" s="597"/>
      <c r="M17" s="594"/>
      <c r="N17" s="606"/>
      <c r="O17" s="607"/>
      <c r="P17" s="760"/>
      <c r="Q17" s="763"/>
      <c r="R17" s="758"/>
      <c r="S17" s="758"/>
      <c r="T17" s="754"/>
      <c r="U17" s="392"/>
      <c r="V17" s="410"/>
      <c r="W17" s="412"/>
      <c r="X17" s="390"/>
      <c r="Y17" s="393"/>
      <c r="Z17" s="393"/>
      <c r="AA17" s="642"/>
      <c r="AB17" s="642"/>
      <c r="AC17" s="670"/>
      <c r="AD17" s="408"/>
      <c r="AE17" s="410"/>
      <c r="AF17" s="410"/>
      <c r="AG17" s="394"/>
      <c r="AH17" s="404"/>
      <c r="AI17" s="601"/>
      <c r="AJ17" s="602"/>
      <c r="AK17" s="602"/>
      <c r="AL17" s="603"/>
      <c r="AM17" s="549"/>
    </row>
    <row r="18" spans="1:39" s="621" customFormat="1" ht="27" customHeight="1" thickBot="1">
      <c r="A18" s="608">
        <v>25.092857142857198</v>
      </c>
      <c r="B18" s="608"/>
      <c r="C18" s="609"/>
      <c r="D18" s="610"/>
      <c r="E18" s="610"/>
      <c r="F18" s="611"/>
      <c r="G18" s="612"/>
      <c r="H18" s="729"/>
      <c r="I18" s="613"/>
      <c r="J18" s="614"/>
      <c r="K18" s="615"/>
      <c r="L18" s="615"/>
      <c r="M18" s="614"/>
      <c r="N18" s="616"/>
      <c r="O18" s="617"/>
      <c r="P18" s="761"/>
      <c r="Q18" s="764"/>
      <c r="R18" s="765"/>
      <c r="S18" s="765"/>
      <c r="T18" s="766"/>
      <c r="U18" s="395"/>
      <c r="V18" s="411"/>
      <c r="W18" s="413"/>
      <c r="X18" s="391"/>
      <c r="Y18" s="389"/>
      <c r="Z18" s="725"/>
      <c r="AA18" s="643"/>
      <c r="AB18" s="643"/>
      <c r="AC18" s="671"/>
      <c r="AD18" s="409"/>
      <c r="AE18" s="411"/>
      <c r="AF18" s="411"/>
      <c r="AG18" s="396"/>
      <c r="AH18" s="405"/>
      <c r="AI18" s="618"/>
      <c r="AJ18" s="619"/>
      <c r="AK18" s="619"/>
      <c r="AL18" s="620"/>
      <c r="AM18" s="751"/>
    </row>
    <row r="19" spans="1:39" s="621" customFormat="1" ht="27" customHeight="1">
      <c r="A19" s="673">
        <v>4</v>
      </c>
      <c r="B19" s="674">
        <v>120000051070</v>
      </c>
      <c r="C19" s="677" t="s">
        <v>245</v>
      </c>
      <c r="D19" s="675" t="s">
        <v>70</v>
      </c>
      <c r="E19" s="675" t="s">
        <v>45</v>
      </c>
      <c r="F19" s="833">
        <v>45536</v>
      </c>
      <c r="G19" s="676">
        <v>24</v>
      </c>
      <c r="H19" s="834" t="s">
        <v>265</v>
      </c>
      <c r="I19" s="680">
        <v>45627</v>
      </c>
      <c r="J19" s="678">
        <v>5000</v>
      </c>
      <c r="K19" s="645" t="s">
        <v>198</v>
      </c>
      <c r="L19" s="646">
        <f>IF(Table1351452010[[#This Row],[หัก ณ ที่จ่าย
(ค่าบริการ)]]="มี",Table1351452010[[#This Row],[ค่าบริการเฉลี่ยต่อเดือน]]*3%,0)</f>
        <v>0</v>
      </c>
      <c r="M19" s="585">
        <f>Table1351452010[[#This Row],[ค่าบริการเฉลี่ยต่อเดือน]]-Table1351452010[[#This Row],[มูลค่าหัก 3%]]</f>
        <v>5000</v>
      </c>
      <c r="N19" s="586">
        <f>Table1351452010[[#This Row],[ค่าบริการเฉลียรายเดือนตาม Package
(เรียกเก็บสุทธิ)]]</f>
        <v>5000</v>
      </c>
      <c r="O19" s="840"/>
      <c r="P19" s="841"/>
      <c r="Q19" s="842"/>
      <c r="R19" s="843"/>
      <c r="S19" s="843"/>
      <c r="T19" s="844"/>
      <c r="U19" s="679"/>
      <c r="V19" s="648"/>
      <c r="W19" s="649">
        <f>IF(Table1351452010[[#This Row],[หัก ณ ที่จ่าย
(ค่าติตั้ง)]]="มี",Table1351452010[[#This Row],[ค่าเชื่อมสัญญาณ/
ค่าติดตั้ง/
ค่าขายอุปกรณ์]]*$W$4,0)</f>
        <v>0</v>
      </c>
      <c r="X19" s="397">
        <f>Table1351452010[[#This Row],[ค่าเชื่อมสัญญาณ/
ค่าติดตั้ง/
ค่าขายอุปกรณ์]]-Table1351452010[[#This Row],[มูลค่าหัก 3%
(ค่าติดตั้ง)]]</f>
        <v>0</v>
      </c>
      <c r="Y19" s="331"/>
      <c r="Z19" s="723">
        <f>Table1351452010[[#This Row],[ค่าเชื่อมสัญญาณ/
ค่าติดตั้ง/
ค่าขายอุปกรณ์
(เรียกเก็บสุทธิ)]]-Table1351452010[[#This Row],[ต้นทุน]]</f>
        <v>0</v>
      </c>
      <c r="AA19" s="587" t="str">
        <f>IF(Table1351452010[[#This Row],[ส่วนต่างกำไร]]&lt;(Table1351452010[[#This Row],[ต้นทุน]]*5%),Table1351452010[[#This Row],[ค่าเชื่อมสัญญาณ/
ค่าติดตั้ง/
ค่าขายอุปกรณ์
(เรียกเก็บสุทธิ)]]*$AA$4,"0")</f>
        <v>0</v>
      </c>
      <c r="AB19" s="587">
        <f>IF(Table1351452010[[#This Row],[ส่วนต่างกำไร]]&gt;=(Table1351452010[[#This Row],[ต้นทุน]]*5%),Table1351452010[[#This Row],[ค่าเชื่อมสัญญาณ/
ค่าติดตั้ง/
ค่าขายอุปกรณ์
(เรียกเก็บสุทธิ)]]*$AB$4,"0")</f>
        <v>0</v>
      </c>
      <c r="AC19" s="668">
        <f>SUM(Table1351452010[[#This Row],[คอมฯ
 5%]:[คอมฯ
10%]])</f>
        <v>0</v>
      </c>
      <c r="AD19" s="681"/>
      <c r="AE19" s="648"/>
      <c r="AF19" s="672">
        <f>IF(Table1351452010[[#This Row],[หัก ณ ที่จ่าย
(ค่าเชื่อมสัญญาณ)]]="มี",Table1351452010[[#This Row],[ค่าเชื่อมสัญญาณ]]*$AF$4,0)</f>
        <v>0</v>
      </c>
      <c r="AG19" s="398">
        <f>Table1351452010[[#This Row],[ค่าเชื่อมสัญญาณ]]-Table1351452010[[#This Row],[มูลค่าหัก 3%
(ค่าเชื่อมสัญญาณ)]]</f>
        <v>0</v>
      </c>
      <c r="AH19" s="403">
        <f>Table1351452010[[#This Row],[ค่าเชื่อมสัญญาณ
(เรียกเก็บสุทธิ)]]*$AH$4</f>
        <v>0</v>
      </c>
      <c r="AI19" s="588">
        <f>Table1351452010[[#This Row],[Total
รายการเบิก
คอมขาย
(1)]]+Table1351452010[[#This Row],[Total
ค่าเชื่มสัญญาณ/ค่าติดตั้ง/
ค่าขายอุปกรณ์
(2)]]+Table1351452010[[#This Row],[Total 
คอมฯค่าเชื่อมสัญญาณ
(3)]]</f>
        <v>5000</v>
      </c>
      <c r="AJ19" s="589" t="s">
        <v>250</v>
      </c>
      <c r="AK19" s="589" t="s">
        <v>251</v>
      </c>
      <c r="AL19" s="590" t="s">
        <v>252</v>
      </c>
      <c r="AM19" s="549" t="s">
        <v>255</v>
      </c>
    </row>
    <row r="20" spans="1:39" s="621" customFormat="1" ht="27" customHeight="1">
      <c r="A20" s="591">
        <v>22.678571428571502</v>
      </c>
      <c r="B20" s="592"/>
      <c r="C20" s="593" t="s">
        <v>246</v>
      </c>
      <c r="D20" s="594"/>
      <c r="E20" s="594"/>
      <c r="F20" s="595"/>
      <c r="G20" s="622"/>
      <c r="H20" s="728"/>
      <c r="I20" s="596"/>
      <c r="J20" s="594"/>
      <c r="K20" s="597"/>
      <c r="L20" s="597"/>
      <c r="M20" s="598"/>
      <c r="N20" s="599"/>
      <c r="O20" s="600"/>
      <c r="P20" s="759"/>
      <c r="Q20" s="762"/>
      <c r="R20" s="757"/>
      <c r="S20" s="757"/>
      <c r="T20" s="753"/>
      <c r="U20" s="392"/>
      <c r="V20" s="410"/>
      <c r="W20" s="412"/>
      <c r="X20" s="390"/>
      <c r="Y20" s="393"/>
      <c r="Z20" s="724" t="e">
        <f t="shared" ref="Z20" si="3">Z19/Y19</f>
        <v>#DIV/0!</v>
      </c>
      <c r="AA20" s="642"/>
      <c r="AB20" s="642"/>
      <c r="AC20" s="669"/>
      <c r="AD20" s="407"/>
      <c r="AE20" s="410"/>
      <c r="AF20" s="410"/>
      <c r="AG20" s="394"/>
      <c r="AH20" s="404"/>
      <c r="AI20" s="601"/>
      <c r="AJ20" s="602"/>
      <c r="AK20" s="602"/>
      <c r="AL20" s="603"/>
      <c r="AM20" s="549"/>
    </row>
    <row r="21" spans="1:39" s="621" customFormat="1" ht="27" customHeight="1">
      <c r="A21" s="591">
        <v>23.8857142857143</v>
      </c>
      <c r="B21" s="591"/>
      <c r="C21" s="604"/>
      <c r="D21" s="605"/>
      <c r="E21" s="605"/>
      <c r="F21" s="595"/>
      <c r="G21" s="622"/>
      <c r="H21" s="728"/>
      <c r="I21" s="596"/>
      <c r="J21" s="594"/>
      <c r="K21" s="597"/>
      <c r="L21" s="597"/>
      <c r="M21" s="594"/>
      <c r="N21" s="606"/>
      <c r="O21" s="607"/>
      <c r="P21" s="760"/>
      <c r="Q21" s="763"/>
      <c r="R21" s="758"/>
      <c r="S21" s="758"/>
      <c r="T21" s="754"/>
      <c r="U21" s="392"/>
      <c r="V21" s="410"/>
      <c r="W21" s="412"/>
      <c r="X21" s="390"/>
      <c r="Y21" s="393"/>
      <c r="Z21" s="393"/>
      <c r="AA21" s="642"/>
      <c r="AB21" s="642"/>
      <c r="AC21" s="670"/>
      <c r="AD21" s="408"/>
      <c r="AE21" s="410"/>
      <c r="AF21" s="410"/>
      <c r="AG21" s="394"/>
      <c r="AH21" s="404"/>
      <c r="AI21" s="601"/>
      <c r="AJ21" s="602"/>
      <c r="AK21" s="602"/>
      <c r="AL21" s="603"/>
      <c r="AM21" s="549"/>
    </row>
    <row r="22" spans="1:39" s="621" customFormat="1" ht="27" customHeight="1" thickBot="1">
      <c r="A22" s="608">
        <v>25.092857142857198</v>
      </c>
      <c r="B22" s="608"/>
      <c r="C22" s="609"/>
      <c r="D22" s="610"/>
      <c r="E22" s="610"/>
      <c r="F22" s="611"/>
      <c r="G22" s="612"/>
      <c r="H22" s="729"/>
      <c r="I22" s="613"/>
      <c r="J22" s="614"/>
      <c r="K22" s="615"/>
      <c r="L22" s="615"/>
      <c r="M22" s="614"/>
      <c r="N22" s="616"/>
      <c r="O22" s="617"/>
      <c r="P22" s="761"/>
      <c r="Q22" s="764"/>
      <c r="R22" s="765"/>
      <c r="S22" s="765"/>
      <c r="T22" s="766"/>
      <c r="U22" s="395"/>
      <c r="V22" s="411"/>
      <c r="W22" s="413"/>
      <c r="X22" s="391"/>
      <c r="Y22" s="389"/>
      <c r="Z22" s="725"/>
      <c r="AA22" s="643"/>
      <c r="AB22" s="643"/>
      <c r="AC22" s="671"/>
      <c r="AD22" s="409"/>
      <c r="AE22" s="411"/>
      <c r="AF22" s="411"/>
      <c r="AG22" s="396"/>
      <c r="AH22" s="405"/>
      <c r="AI22" s="618"/>
      <c r="AJ22" s="619"/>
      <c r="AK22" s="619"/>
      <c r="AL22" s="620"/>
      <c r="AM22" s="751"/>
    </row>
    <row r="23" spans="1:39" s="621" customFormat="1" ht="27" customHeight="1">
      <c r="A23" s="673">
        <v>5</v>
      </c>
      <c r="B23" s="674">
        <v>120000055425</v>
      </c>
      <c r="C23" s="677" t="s">
        <v>253</v>
      </c>
      <c r="D23" s="675" t="s">
        <v>70</v>
      </c>
      <c r="E23" s="675" t="s">
        <v>45</v>
      </c>
      <c r="F23" s="833">
        <v>45566</v>
      </c>
      <c r="G23" s="676">
        <v>12</v>
      </c>
      <c r="H23" s="834">
        <v>6.6000000000000003E-2</v>
      </c>
      <c r="I23" s="680">
        <v>45566</v>
      </c>
      <c r="J23" s="678">
        <v>1000</v>
      </c>
      <c r="K23" s="645" t="s">
        <v>198</v>
      </c>
      <c r="L23" s="646">
        <f>IF(Table1351452010[[#This Row],[หัก ณ ที่จ่าย
(ค่าบริการ)]]="มี",Table1351452010[[#This Row],[ค่าบริการเฉลี่ยต่อเดือน]]*3%,0)</f>
        <v>0</v>
      </c>
      <c r="M23" s="585">
        <f>Table1351452010[[#This Row],[ค่าบริการเฉลี่ยต่อเดือน]]-Table1351452010[[#This Row],[มูลค่าหัก 3%]]</f>
        <v>1000</v>
      </c>
      <c r="N23" s="58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792</v>
      </c>
      <c r="O23" s="840">
        <f>Table1351452010[[#This Row],[ระยะเวลาสัญญา
(เดือน)]]/$O$5</f>
        <v>1</v>
      </c>
      <c r="P23" s="841"/>
      <c r="Q23" s="842"/>
      <c r="R23" s="843"/>
      <c r="S23" s="843"/>
      <c r="T23" s="844"/>
      <c r="U23" s="679"/>
      <c r="V23" s="648"/>
      <c r="W23" s="649">
        <f>IF(Table1351452010[[#This Row],[หัก ณ ที่จ่าย
(ค่าติตั้ง)]]="มี",Table1351452010[[#This Row],[ค่าเชื่อมสัญญาณ/
ค่าติดตั้ง/
ค่าขายอุปกรณ์]]*$W$4,0)</f>
        <v>0</v>
      </c>
      <c r="X23" s="397">
        <f>Table1351452010[[#This Row],[ค่าเชื่อมสัญญาณ/
ค่าติดตั้ง/
ค่าขายอุปกรณ์]]-Table1351452010[[#This Row],[มูลค่าหัก 3%
(ค่าติดตั้ง)]]</f>
        <v>0</v>
      </c>
      <c r="Y23" s="331"/>
      <c r="Z23" s="723">
        <f>Table1351452010[[#This Row],[ค่าเชื่อมสัญญาณ/
ค่าติดตั้ง/
ค่าขายอุปกรณ์
(เรียกเก็บสุทธิ)]]-Table1351452010[[#This Row],[ต้นทุน]]</f>
        <v>0</v>
      </c>
      <c r="AA23" s="587" t="str">
        <f>IF(Table1351452010[[#This Row],[ส่วนต่างกำไร]]&lt;(Table1351452010[[#This Row],[ต้นทุน]]*5%),Table1351452010[[#This Row],[ค่าเชื่อมสัญญาณ/
ค่าติดตั้ง/
ค่าขายอุปกรณ์
(เรียกเก็บสุทธิ)]]*$AA$4,"0")</f>
        <v>0</v>
      </c>
      <c r="AB23" s="587">
        <f>IF(Table1351452010[[#This Row],[ส่วนต่างกำไร]]&gt;=(Table1351452010[[#This Row],[ต้นทุน]]*5%),Table1351452010[[#This Row],[ค่าเชื่อมสัญญาณ/
ค่าติดตั้ง/
ค่าขายอุปกรณ์
(เรียกเก็บสุทธิ)]]*$AB$4,"0")</f>
        <v>0</v>
      </c>
      <c r="AC23" s="668">
        <f>SUM(Table1351452010[[#This Row],[คอมฯ
 5%]:[คอมฯ
10%]])</f>
        <v>0</v>
      </c>
      <c r="AD23" s="681"/>
      <c r="AE23" s="648"/>
      <c r="AF23" s="672">
        <f>IF(Table1351452010[[#This Row],[หัก ณ ที่จ่าย
(ค่าเชื่อมสัญญาณ)]]="มี",Table1351452010[[#This Row],[ค่าเชื่อมสัญญาณ]]*$AF$4,0)</f>
        <v>0</v>
      </c>
      <c r="AG23" s="398">
        <f>Table1351452010[[#This Row],[ค่าเชื่อมสัญญาณ]]-Table1351452010[[#This Row],[มูลค่าหัก 3%
(ค่าเชื่อมสัญญาณ)]]</f>
        <v>0</v>
      </c>
      <c r="AH23" s="403">
        <f>Table1351452010[[#This Row],[ค่าเชื่อมสัญญาณ
(เรียกเก็บสุทธิ)]]*$AH$4</f>
        <v>0</v>
      </c>
      <c r="AI23" s="588">
        <f>Table1351452010[[#This Row],[Total
รายการเบิก
คอมขาย
(1)]]+Table1351452010[[#This Row],[Total
ค่าเชื่มสัญญาณ/ค่าติดตั้ง/
ค่าขายอุปกรณ์
(2)]]+Table1351452010[[#This Row],[Total 
คอมฯค่าเชื่อมสัญญาณ
(3)]]</f>
        <v>792</v>
      </c>
      <c r="AJ23" s="589" t="s">
        <v>175</v>
      </c>
      <c r="AK23" s="589" t="s">
        <v>176</v>
      </c>
      <c r="AL23" s="590" t="s">
        <v>177</v>
      </c>
      <c r="AM23" s="549" t="s">
        <v>255</v>
      </c>
    </row>
    <row r="24" spans="1:39" s="621" customFormat="1" ht="27" customHeight="1">
      <c r="A24" s="591">
        <v>22.678571428571502</v>
      </c>
      <c r="B24" s="592"/>
      <c r="C24" s="593" t="s">
        <v>254</v>
      </c>
      <c r="D24" s="594"/>
      <c r="E24" s="594"/>
      <c r="F24" s="595"/>
      <c r="G24" s="622"/>
      <c r="H24" s="728"/>
      <c r="I24" s="596"/>
      <c r="J24" s="594"/>
      <c r="K24" s="597"/>
      <c r="L24" s="597"/>
      <c r="M24" s="598"/>
      <c r="N24" s="599"/>
      <c r="O24" s="600"/>
      <c r="P24" s="759"/>
      <c r="Q24" s="762"/>
      <c r="R24" s="757"/>
      <c r="S24" s="757"/>
      <c r="T24" s="753"/>
      <c r="U24" s="392"/>
      <c r="V24" s="410"/>
      <c r="W24" s="412"/>
      <c r="X24" s="390"/>
      <c r="Y24" s="393"/>
      <c r="Z24" s="724" t="e">
        <f t="shared" ref="Z24" si="4">Z23/Y23</f>
        <v>#DIV/0!</v>
      </c>
      <c r="AA24" s="642"/>
      <c r="AB24" s="642"/>
      <c r="AC24" s="669"/>
      <c r="AD24" s="407"/>
      <c r="AE24" s="410"/>
      <c r="AF24" s="410"/>
      <c r="AG24" s="394"/>
      <c r="AH24" s="404"/>
      <c r="AI24" s="601"/>
      <c r="AJ24" s="602"/>
      <c r="AK24" s="602"/>
      <c r="AL24" s="603"/>
      <c r="AM24" s="549"/>
    </row>
    <row r="25" spans="1:39" s="621" customFormat="1" ht="27" customHeight="1">
      <c r="A25" s="591">
        <v>23.8857142857143</v>
      </c>
      <c r="B25" s="591"/>
      <c r="C25" s="604"/>
      <c r="D25" s="605"/>
      <c r="E25" s="605"/>
      <c r="F25" s="595"/>
      <c r="G25" s="622"/>
      <c r="H25" s="728"/>
      <c r="I25" s="596"/>
      <c r="J25" s="594"/>
      <c r="K25" s="597"/>
      <c r="L25" s="597"/>
      <c r="M25" s="594"/>
      <c r="N25" s="606"/>
      <c r="O25" s="607"/>
      <c r="P25" s="760"/>
      <c r="Q25" s="763"/>
      <c r="R25" s="758"/>
      <c r="S25" s="758"/>
      <c r="T25" s="754"/>
      <c r="U25" s="392"/>
      <c r="V25" s="410"/>
      <c r="W25" s="412"/>
      <c r="X25" s="390"/>
      <c r="Y25" s="393"/>
      <c r="Z25" s="393"/>
      <c r="AA25" s="642"/>
      <c r="AB25" s="642"/>
      <c r="AC25" s="670"/>
      <c r="AD25" s="408"/>
      <c r="AE25" s="410"/>
      <c r="AF25" s="410"/>
      <c r="AG25" s="394"/>
      <c r="AH25" s="404"/>
      <c r="AI25" s="601"/>
      <c r="AJ25" s="602"/>
      <c r="AK25" s="602"/>
      <c r="AL25" s="603"/>
      <c r="AM25" s="549"/>
    </row>
    <row r="26" spans="1:39" s="621" customFormat="1" ht="27" customHeight="1" thickBot="1">
      <c r="A26" s="608">
        <v>25.092857142857198</v>
      </c>
      <c r="B26" s="608"/>
      <c r="C26" s="609"/>
      <c r="D26" s="610"/>
      <c r="E26" s="610"/>
      <c r="F26" s="611"/>
      <c r="G26" s="612"/>
      <c r="H26" s="729"/>
      <c r="I26" s="613"/>
      <c r="J26" s="614"/>
      <c r="K26" s="615"/>
      <c r="L26" s="615"/>
      <c r="M26" s="614"/>
      <c r="N26" s="616"/>
      <c r="O26" s="617"/>
      <c r="P26" s="761"/>
      <c r="Q26" s="764"/>
      <c r="R26" s="765"/>
      <c r="S26" s="765"/>
      <c r="T26" s="766"/>
      <c r="U26" s="395"/>
      <c r="V26" s="411"/>
      <c r="W26" s="413"/>
      <c r="X26" s="391"/>
      <c r="Y26" s="389"/>
      <c r="Z26" s="725"/>
      <c r="AA26" s="643"/>
      <c r="AB26" s="643"/>
      <c r="AC26" s="671"/>
      <c r="AD26" s="409"/>
      <c r="AE26" s="411"/>
      <c r="AF26" s="411"/>
      <c r="AG26" s="396"/>
      <c r="AH26" s="405"/>
      <c r="AI26" s="618"/>
      <c r="AJ26" s="619"/>
      <c r="AK26" s="619"/>
      <c r="AL26" s="620"/>
      <c r="AM26" s="751"/>
    </row>
    <row r="27" spans="1:39" s="621" customFormat="1" ht="27" customHeight="1">
      <c r="A27" s="673">
        <v>6</v>
      </c>
      <c r="B27" s="674">
        <v>120000055767</v>
      </c>
      <c r="C27" s="677" t="s">
        <v>179</v>
      </c>
      <c r="D27" s="675" t="s">
        <v>67</v>
      </c>
      <c r="E27" s="675" t="s">
        <v>45</v>
      </c>
      <c r="F27" s="833">
        <v>45566</v>
      </c>
      <c r="G27" s="676">
        <v>24</v>
      </c>
      <c r="H27" s="834">
        <v>6.6000000000000003E-2</v>
      </c>
      <c r="I27" s="680">
        <v>45597</v>
      </c>
      <c r="J27" s="678">
        <v>2000</v>
      </c>
      <c r="K27" s="645" t="s">
        <v>198</v>
      </c>
      <c r="L27" s="646">
        <f>IF(Table1351452010[[#This Row],[หัก ณ ที่จ่าย
(ค่าบริการ)]]="มี",Table1351452010[[#This Row],[ค่าบริการเฉลี่ยต่อเดือน]]*3%,0)</f>
        <v>0</v>
      </c>
      <c r="M27" s="585">
        <f>Table1351452010[[#This Row],[ค่าบริการเฉลี่ยต่อเดือน]]-Table1351452010[[#This Row],[มูลค่าหัก 3%]]</f>
        <v>2000</v>
      </c>
      <c r="N27" s="58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3168</v>
      </c>
      <c r="O27" s="840">
        <f>Table1351452010[[#This Row],[ระยะเวลาสัญญา
(เดือน)]]/$O$5</f>
        <v>2</v>
      </c>
      <c r="P27" s="845">
        <f>Table1351452010[[#This Row],[Total
รายการเบิก
คอมขาย
(1)]]/Table1351452010[[#This Row],[แบ่งจ่าย/งวด
(ตามปีสัญญา)]]</f>
        <v>1584</v>
      </c>
      <c r="Q27" s="846">
        <f>Table1351452010[[#This Row],[Total
รายการเบิก
คอมขาย
(1)]]/Table1351452010[[#This Row],[แบ่งจ่าย/งวด
(ตามปีสัญญา)]]</f>
        <v>1584</v>
      </c>
      <c r="R27" s="843"/>
      <c r="S27" s="843"/>
      <c r="T27" s="844"/>
      <c r="U27" s="735"/>
      <c r="V27" s="736"/>
      <c r="W27" s="737">
        <f>IF(Table1351452010[[#This Row],[หัก ณ ที่จ่าย
(ค่าติตั้ง)]]="มี",Table1351452010[[#This Row],[ค่าเชื่อมสัญญาณ/
ค่าติดตั้ง/
ค่าขายอุปกรณ์]]*$W$4,0)</f>
        <v>0</v>
      </c>
      <c r="X27" s="738">
        <f>Table1351452010[[#This Row],[ค่าเชื่อมสัญญาณ/
ค่าติดตั้ง/
ค่าขายอุปกรณ์]]-Table1351452010[[#This Row],[มูลค่าหัก 3%
(ค่าติดตั้ง)]]</f>
        <v>0</v>
      </c>
      <c r="Y27" s="739"/>
      <c r="Z27" s="723">
        <f>Table1351452010[[#This Row],[ค่าเชื่อมสัญญาณ/
ค่าติดตั้ง/
ค่าขายอุปกรณ์
(เรียกเก็บสุทธิ)]]-Table1351452010[[#This Row],[ต้นทุน]]</f>
        <v>0</v>
      </c>
      <c r="AA27" s="740" t="str">
        <f>IF(Table1351452010[[#This Row],[ส่วนต่างกำไร]]&lt;(Table1351452010[[#This Row],[ต้นทุน]]*5%),Table1351452010[[#This Row],[ค่าเชื่อมสัญญาณ/
ค่าติดตั้ง/
ค่าขายอุปกรณ์
(เรียกเก็บสุทธิ)]]*$AA$4,"0")</f>
        <v>0</v>
      </c>
      <c r="AB27" s="740">
        <f>IF(Table1351452010[[#This Row],[ส่วนต่างกำไร]]&gt;=(Table1351452010[[#This Row],[ต้นทุน]]*5%),Table1351452010[[#This Row],[ค่าเชื่อมสัญญาณ/
ค่าติดตั้ง/
ค่าขายอุปกรณ์
(เรียกเก็บสุทธิ)]]*$AB$4,"0")</f>
        <v>0</v>
      </c>
      <c r="AC27" s="668">
        <f>SUM(Table1351452010[[#This Row],[คอมฯ
 5%]:[คอมฯ
10%]])</f>
        <v>0</v>
      </c>
      <c r="AD27" s="681"/>
      <c r="AE27" s="648"/>
      <c r="AF27" s="672">
        <f>IF(Table1351452010[[#This Row],[หัก ณ ที่จ่าย
(ค่าเชื่อมสัญญาณ)]]="มี",Table1351452010[[#This Row],[ค่าเชื่อมสัญญาณ]]*$AF$4,0)</f>
        <v>0</v>
      </c>
      <c r="AG27" s="398">
        <f>Table1351452010[[#This Row],[ค่าเชื่อมสัญญาณ]]-Table1351452010[[#This Row],[มูลค่าหัก 3%
(ค่าเชื่อมสัญญาณ)]]</f>
        <v>0</v>
      </c>
      <c r="AH27" s="403">
        <f>Table1351452010[[#This Row],[ค่าเชื่อมสัญญาณ
(เรียกเก็บสุทธิ)]]*$AH$4</f>
        <v>0</v>
      </c>
      <c r="AI27" s="588">
        <f>Table1351452010[[#This Row],[ปีที่1]]</f>
        <v>1584</v>
      </c>
      <c r="AJ27" s="589" t="s">
        <v>213</v>
      </c>
      <c r="AK27" s="589" t="s">
        <v>214</v>
      </c>
      <c r="AL27" s="590" t="s">
        <v>177</v>
      </c>
      <c r="AM27" s="549" t="s">
        <v>255</v>
      </c>
    </row>
    <row r="28" spans="1:39" s="621" customFormat="1" ht="27" customHeight="1">
      <c r="A28" s="591">
        <v>22.678571428571502</v>
      </c>
      <c r="B28" s="592"/>
      <c r="C28" s="593" t="s">
        <v>180</v>
      </c>
      <c r="D28" s="594"/>
      <c r="E28" s="594"/>
      <c r="F28" s="595"/>
      <c r="G28" s="622"/>
      <c r="H28" s="728"/>
      <c r="I28" s="596"/>
      <c r="J28" s="594"/>
      <c r="K28" s="597"/>
      <c r="L28" s="597"/>
      <c r="M28" s="598"/>
      <c r="N28" s="599"/>
      <c r="O28" s="600"/>
      <c r="P28" s="759" t="s">
        <v>262</v>
      </c>
      <c r="Q28" s="757" t="s">
        <v>263</v>
      </c>
      <c r="R28" s="757"/>
      <c r="S28" s="757"/>
      <c r="T28" s="753"/>
      <c r="U28" s="392"/>
      <c r="V28" s="410"/>
      <c r="W28" s="412"/>
      <c r="X28" s="390"/>
      <c r="Y28" s="393"/>
      <c r="Z28" s="724" t="e">
        <f t="shared" ref="Z28" si="5">Z27/Y27</f>
        <v>#DIV/0!</v>
      </c>
      <c r="AA28" s="642"/>
      <c r="AB28" s="642"/>
      <c r="AC28" s="669"/>
      <c r="AD28" s="407"/>
      <c r="AE28" s="410"/>
      <c r="AF28" s="410"/>
      <c r="AG28" s="394"/>
      <c r="AH28" s="404"/>
      <c r="AI28" s="601"/>
      <c r="AJ28" s="602"/>
      <c r="AK28" s="602"/>
      <c r="AL28" s="603"/>
      <c r="AM28" s="549"/>
    </row>
    <row r="29" spans="1:39" s="621" customFormat="1" ht="27" customHeight="1">
      <c r="A29" s="591">
        <v>23.8857142857143</v>
      </c>
      <c r="B29" s="591"/>
      <c r="C29" s="734"/>
      <c r="D29" s="605"/>
      <c r="E29" s="605"/>
      <c r="F29" s="595"/>
      <c r="G29" s="622"/>
      <c r="H29" s="728"/>
      <c r="I29" s="596"/>
      <c r="J29" s="594"/>
      <c r="K29" s="597"/>
      <c r="L29" s="597"/>
      <c r="M29" s="594"/>
      <c r="N29" s="606"/>
      <c r="O29" s="607"/>
      <c r="P29" s="760"/>
      <c r="Q29" s="758"/>
      <c r="R29" s="758"/>
      <c r="S29" s="758"/>
      <c r="T29" s="754"/>
      <c r="U29" s="392"/>
      <c r="V29" s="410"/>
      <c r="W29" s="412"/>
      <c r="X29" s="390"/>
      <c r="Y29" s="393"/>
      <c r="Z29" s="415"/>
      <c r="AA29" s="642"/>
      <c r="AB29" s="642"/>
      <c r="AC29" s="670"/>
      <c r="AD29" s="408"/>
      <c r="AE29" s="410"/>
      <c r="AF29" s="410"/>
      <c r="AG29" s="394"/>
      <c r="AH29" s="404"/>
      <c r="AI29" s="601"/>
      <c r="AJ29" s="602"/>
      <c r="AK29" s="602"/>
      <c r="AL29" s="603"/>
      <c r="AM29" s="549"/>
    </row>
    <row r="30" spans="1:39" s="621" customFormat="1" ht="27" customHeight="1" thickBot="1">
      <c r="A30" s="608">
        <v>25.092857142857198</v>
      </c>
      <c r="B30" s="608"/>
      <c r="C30" s="609"/>
      <c r="D30" s="610"/>
      <c r="E30" s="610"/>
      <c r="F30" s="611"/>
      <c r="G30" s="612"/>
      <c r="H30" s="729"/>
      <c r="I30" s="613"/>
      <c r="J30" s="614"/>
      <c r="K30" s="615"/>
      <c r="L30" s="615"/>
      <c r="M30" s="614"/>
      <c r="N30" s="616"/>
      <c r="O30" s="617"/>
      <c r="P30" s="761"/>
      <c r="Q30" s="765"/>
      <c r="R30" s="765"/>
      <c r="S30" s="765"/>
      <c r="T30" s="766"/>
      <c r="U30" s="395"/>
      <c r="V30" s="411"/>
      <c r="W30" s="413"/>
      <c r="X30" s="391"/>
      <c r="Y30" s="389"/>
      <c r="Z30" s="416"/>
      <c r="AA30" s="643"/>
      <c r="AB30" s="643"/>
      <c r="AC30" s="671"/>
      <c r="AD30" s="409"/>
      <c r="AE30" s="411"/>
      <c r="AF30" s="411"/>
      <c r="AG30" s="396"/>
      <c r="AH30" s="405"/>
      <c r="AI30" s="618"/>
      <c r="AJ30" s="619"/>
      <c r="AK30" s="619"/>
      <c r="AL30" s="620"/>
      <c r="AM30" s="751"/>
    </row>
    <row r="31" spans="1:39" s="621" customFormat="1" ht="27" customHeight="1">
      <c r="A31" s="673">
        <v>7</v>
      </c>
      <c r="B31" s="674">
        <v>120000059654</v>
      </c>
      <c r="C31" s="677" t="s">
        <v>181</v>
      </c>
      <c r="D31" s="675" t="s">
        <v>70</v>
      </c>
      <c r="E31" s="675" t="s">
        <v>45</v>
      </c>
      <c r="F31" s="833">
        <v>45566</v>
      </c>
      <c r="G31" s="676">
        <v>12</v>
      </c>
      <c r="H31" s="834">
        <v>6.6000000000000003E-2</v>
      </c>
      <c r="I31" s="680">
        <v>45597</v>
      </c>
      <c r="J31" s="678">
        <v>1500</v>
      </c>
      <c r="K31" s="645" t="s">
        <v>197</v>
      </c>
      <c r="L31" s="646">
        <f>IF(Table1351452010[[#This Row],[หัก ณ ที่จ่าย
(ค่าบริการ)]]="มี",Table1351452010[[#This Row],[ค่าบริการเฉลี่ยต่อเดือน]]*3%,0)</f>
        <v>45</v>
      </c>
      <c r="M31" s="585">
        <f>Table1351452010[[#This Row],[ค่าบริการเฉลี่ยต่อเดือน]]-Table1351452010[[#This Row],[มูลค่าหัก 3%]]</f>
        <v>1455</v>
      </c>
      <c r="N31" s="58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1152.3600000000001</v>
      </c>
      <c r="O31" s="840">
        <f>Table1351452010[[#This Row],[ระยะเวลาสัญญา
(เดือน)]]/$O$5</f>
        <v>1</v>
      </c>
      <c r="P31" s="841"/>
      <c r="Q31" s="842"/>
      <c r="R31" s="843"/>
      <c r="S31" s="843"/>
      <c r="T31" s="844"/>
      <c r="U31" s="679"/>
      <c r="V31" s="648"/>
      <c r="W31" s="649">
        <f>IF(Table1351452010[[#This Row],[หัก ณ ที่จ่าย
(ค่าติตั้ง)]]="มี",Table1351452010[[#This Row],[ค่าเชื่อมสัญญาณ/
ค่าติดตั้ง/
ค่าขายอุปกรณ์]]*$W$4,0)</f>
        <v>0</v>
      </c>
      <c r="X31" s="738">
        <f>Table1351452010[[#This Row],[ค่าเชื่อมสัญญาณ/
ค่าติดตั้ง/
ค่าขายอุปกรณ์]]-Table1351452010[[#This Row],[มูลค่าหัก 3%
(ค่าติดตั้ง)]]</f>
        <v>0</v>
      </c>
      <c r="Y31" s="739"/>
      <c r="Z31" s="723">
        <f>Table1351452010[[#This Row],[ค่าเชื่อมสัญญาณ/
ค่าติดตั้ง/
ค่าขายอุปกรณ์
(เรียกเก็บสุทธิ)]]-Table1351452010[[#This Row],[ต้นทุน]]</f>
        <v>0</v>
      </c>
      <c r="AA31" s="587" t="str">
        <f>IF(Table1351452010[[#This Row],[ส่วนต่างกำไร]]&lt;(Table1351452010[[#This Row],[ต้นทุน]]*5%),Table1351452010[[#This Row],[ค่าเชื่อมสัญญาณ/
ค่าติดตั้ง/
ค่าขายอุปกรณ์
(เรียกเก็บสุทธิ)]]*$AA$4,"0")</f>
        <v>0</v>
      </c>
      <c r="AB31" s="587">
        <f>IF(Table1351452010[[#This Row],[ส่วนต่างกำไร]]&gt;=(Table1351452010[[#This Row],[ต้นทุน]]*5%),Table1351452010[[#This Row],[ค่าเชื่อมสัญญาณ/
ค่าติดตั้ง/
ค่าขายอุปกรณ์
(เรียกเก็บสุทธิ)]]*$AB$4,"0")</f>
        <v>0</v>
      </c>
      <c r="AC31" s="668">
        <f>SUM(Table1351452010[[#This Row],[คอมฯ
 5%]:[คอมฯ
10%]])</f>
        <v>0</v>
      </c>
      <c r="AD31" s="681"/>
      <c r="AE31" s="648"/>
      <c r="AF31" s="672">
        <f>IF(Table1351452010[[#This Row],[หัก ณ ที่จ่าย
(ค่าเชื่อมสัญญาณ)]]="มี",Table1351452010[[#This Row],[ค่าเชื่อมสัญญาณ]]*$AF$4,0)</f>
        <v>0</v>
      </c>
      <c r="AG31" s="398">
        <f>Table1351452010[[#This Row],[ค่าเชื่อมสัญญาณ]]-Table1351452010[[#This Row],[มูลค่าหัก 3%
(ค่าเชื่อมสัญญาณ)]]</f>
        <v>0</v>
      </c>
      <c r="AH31" s="403">
        <f>Table1351452010[[#This Row],[ค่าเชื่อมสัญญาณ
(เรียกเก็บสุทธิ)]]*$AH$4</f>
        <v>0</v>
      </c>
      <c r="AI31" s="588">
        <f>Table1351452010[[#This Row],[Total
รายการเบิก
คอมขาย
(1)]]+Table1351452010[[#This Row],[Total
ค่าเชื่มสัญญาณ/ค่าติดตั้ง/
ค่าขายอุปกรณ์
(2)]]+Table1351452010[[#This Row],[Total 
คอมฯค่าเชื่อมสัญญาณ
(3)]]</f>
        <v>1152.3600000000001</v>
      </c>
      <c r="AJ31" s="589" t="s">
        <v>266</v>
      </c>
      <c r="AK31" s="589" t="s">
        <v>215</v>
      </c>
      <c r="AL31" s="590" t="s">
        <v>212</v>
      </c>
      <c r="AM31" s="549" t="s">
        <v>255</v>
      </c>
    </row>
    <row r="32" spans="1:39" s="621" customFormat="1" ht="27" customHeight="1">
      <c r="A32" s="591">
        <v>22.678571428571502</v>
      </c>
      <c r="B32" s="592"/>
      <c r="C32" s="593" t="s">
        <v>182</v>
      </c>
      <c r="D32" s="594"/>
      <c r="E32" s="594"/>
      <c r="F32" s="595"/>
      <c r="G32" s="622"/>
      <c r="H32" s="728"/>
      <c r="I32" s="596"/>
      <c r="J32" s="594"/>
      <c r="K32" s="597"/>
      <c r="L32" s="597"/>
      <c r="M32" s="598"/>
      <c r="N32" s="599"/>
      <c r="O32" s="600"/>
      <c r="P32" s="759"/>
      <c r="Q32" s="762"/>
      <c r="R32" s="757"/>
      <c r="S32" s="757"/>
      <c r="T32" s="753"/>
      <c r="U32" s="392"/>
      <c r="V32" s="410"/>
      <c r="W32" s="412"/>
      <c r="X32" s="390"/>
      <c r="Y32" s="393"/>
      <c r="Z32" s="724" t="e">
        <f t="shared" ref="Z32" si="6">Z31/Y31</f>
        <v>#DIV/0!</v>
      </c>
      <c r="AA32" s="642"/>
      <c r="AB32" s="642"/>
      <c r="AC32" s="669"/>
      <c r="AD32" s="407"/>
      <c r="AE32" s="410"/>
      <c r="AF32" s="410"/>
      <c r="AG32" s="394"/>
      <c r="AH32" s="404"/>
      <c r="AI32" s="601"/>
      <c r="AJ32" s="602"/>
      <c r="AK32" s="602"/>
      <c r="AL32" s="603"/>
      <c r="AM32" s="549"/>
    </row>
    <row r="33" spans="1:39" s="621" customFormat="1" ht="27" customHeight="1">
      <c r="A33" s="591">
        <v>23.8857142857143</v>
      </c>
      <c r="B33" s="591"/>
      <c r="C33" s="604"/>
      <c r="D33" s="605"/>
      <c r="E33" s="605"/>
      <c r="F33" s="595"/>
      <c r="G33" s="622"/>
      <c r="H33" s="728"/>
      <c r="I33" s="596"/>
      <c r="J33" s="594"/>
      <c r="K33" s="597"/>
      <c r="L33" s="597"/>
      <c r="M33" s="594"/>
      <c r="N33" s="606"/>
      <c r="O33" s="607"/>
      <c r="P33" s="760"/>
      <c r="Q33" s="763"/>
      <c r="R33" s="758"/>
      <c r="S33" s="758"/>
      <c r="T33" s="754"/>
      <c r="U33" s="392"/>
      <c r="V33" s="410"/>
      <c r="W33" s="412"/>
      <c r="X33" s="390"/>
      <c r="Y33" s="393"/>
      <c r="Z33" s="393"/>
      <c r="AA33" s="642"/>
      <c r="AB33" s="642"/>
      <c r="AC33" s="670"/>
      <c r="AD33" s="408"/>
      <c r="AE33" s="410"/>
      <c r="AF33" s="410"/>
      <c r="AG33" s="394"/>
      <c r="AH33" s="404"/>
      <c r="AI33" s="601"/>
      <c r="AJ33" s="602"/>
      <c r="AK33" s="602"/>
      <c r="AL33" s="603"/>
      <c r="AM33" s="549"/>
    </row>
    <row r="34" spans="1:39" s="621" customFormat="1" ht="27" customHeight="1" thickBot="1">
      <c r="A34" s="608">
        <v>25.092857142857198</v>
      </c>
      <c r="B34" s="608"/>
      <c r="C34" s="609"/>
      <c r="D34" s="610"/>
      <c r="E34" s="610"/>
      <c r="F34" s="611"/>
      <c r="G34" s="612"/>
      <c r="H34" s="729"/>
      <c r="I34" s="613"/>
      <c r="J34" s="614"/>
      <c r="K34" s="615"/>
      <c r="L34" s="615"/>
      <c r="M34" s="614"/>
      <c r="N34" s="616"/>
      <c r="O34" s="617"/>
      <c r="P34" s="761"/>
      <c r="Q34" s="764"/>
      <c r="R34" s="765"/>
      <c r="S34" s="765"/>
      <c r="T34" s="766"/>
      <c r="U34" s="395"/>
      <c r="V34" s="411"/>
      <c r="W34" s="413"/>
      <c r="X34" s="741"/>
      <c r="Y34" s="725"/>
      <c r="Z34" s="725"/>
      <c r="AA34" s="643"/>
      <c r="AB34" s="643"/>
      <c r="AC34" s="671"/>
      <c r="AD34" s="409"/>
      <c r="AE34" s="411"/>
      <c r="AF34" s="411"/>
      <c r="AG34" s="396"/>
      <c r="AH34" s="405"/>
      <c r="AI34" s="618"/>
      <c r="AJ34" s="619"/>
      <c r="AK34" s="619"/>
      <c r="AL34" s="620"/>
      <c r="AM34" s="751"/>
    </row>
    <row r="35" spans="1:39" s="621" customFormat="1" ht="27" hidden="1" customHeight="1">
      <c r="A35" s="673">
        <v>8</v>
      </c>
      <c r="B35" s="674"/>
      <c r="C35" s="677"/>
      <c r="D35" s="675"/>
      <c r="E35" s="675"/>
      <c r="F35" s="833"/>
      <c r="G35" s="676"/>
      <c r="H35" s="834"/>
      <c r="I35" s="680"/>
      <c r="J35" s="678"/>
      <c r="K35" s="645"/>
      <c r="L35" s="646">
        <f>IF(Table1351452010[[#This Row],[หัก ณ ที่จ่าย
(ค่าบริการ)]]="มี",Table1351452010[[#This Row],[ค่าบริการเฉลี่ยต่อเดือน]]*3%,0)</f>
        <v>0</v>
      </c>
      <c r="M35" s="585">
        <f>Table1351452010[[#This Row],[ค่าบริการเฉลี่ยต่อเดือน]]-Table1351452010[[#This Row],[มูลค่าหัก 3%]]</f>
        <v>0</v>
      </c>
      <c r="N35" s="58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O35" s="840">
        <f>Table1351452010[[#This Row],[ระยะเวลาสัญญา
(เดือน)]]/$O$5</f>
        <v>0</v>
      </c>
      <c r="P35" s="841"/>
      <c r="Q35" s="842"/>
      <c r="R35" s="843"/>
      <c r="S35" s="843"/>
      <c r="T35" s="844"/>
      <c r="U35" s="679"/>
      <c r="V35" s="648"/>
      <c r="W35" s="649">
        <f>IF(Table1351452010[[#This Row],[หัก ณ ที่จ่าย
(ค่าติตั้ง)]]="มี",Table1351452010[[#This Row],[ค่าเชื่อมสัญญาณ/
ค่าติดตั้ง/
ค่าขายอุปกรณ์]]*$W$4,0)</f>
        <v>0</v>
      </c>
      <c r="X35" s="738">
        <f>Table1351452010[[#This Row],[ค่าเชื่อมสัญญาณ/
ค่าติดตั้ง/
ค่าขายอุปกรณ์]]-Table1351452010[[#This Row],[มูลค่าหัก 3%
(ค่าติดตั้ง)]]</f>
        <v>0</v>
      </c>
      <c r="Y35" s="739"/>
      <c r="Z35" s="723">
        <f>Table1351452010[[#This Row],[ค่าเชื่อมสัญญาณ/
ค่าติดตั้ง/
ค่าขายอุปกรณ์
(เรียกเก็บสุทธิ)]]-Table1351452010[[#This Row],[ต้นทุน]]</f>
        <v>0</v>
      </c>
      <c r="AA35" s="587" t="str">
        <f>IF(Table1351452010[[#This Row],[ส่วนต่างกำไร]]&lt;(Table1351452010[[#This Row],[ต้นทุน]]*5%),Table1351452010[[#This Row],[ค่าเชื่อมสัญญาณ/
ค่าติดตั้ง/
ค่าขายอุปกรณ์
(เรียกเก็บสุทธิ)]]*$AA$4,"0")</f>
        <v>0</v>
      </c>
      <c r="AB35" s="587">
        <f>IF(Table1351452010[[#This Row],[ส่วนต่างกำไร]]&gt;=(Table1351452010[[#This Row],[ต้นทุน]]*5%),Table1351452010[[#This Row],[ค่าเชื่อมสัญญาณ/
ค่าติดตั้ง/
ค่าขายอุปกรณ์
(เรียกเก็บสุทธิ)]]*$AB$4,"0")</f>
        <v>0</v>
      </c>
      <c r="AC35" s="668">
        <f>SUM(Table1351452010[[#This Row],[คอมฯ
 5%]:[คอมฯ
10%]])</f>
        <v>0</v>
      </c>
      <c r="AD35" s="681"/>
      <c r="AE35" s="648"/>
      <c r="AF35" s="672">
        <f>IF(Table1351452010[[#This Row],[หัก ณ ที่จ่าย
(ค่าเชื่อมสัญญาณ)]]="มี",Table1351452010[[#This Row],[ค่าเชื่อมสัญญาณ]]*$AF$4,0)</f>
        <v>0</v>
      </c>
      <c r="AG35" s="398">
        <f>Table1351452010[[#This Row],[ค่าเชื่อมสัญญาณ]]-Table1351452010[[#This Row],[มูลค่าหัก 3%
(ค่าเชื่อมสัญญาณ)]]</f>
        <v>0</v>
      </c>
      <c r="AH35" s="403">
        <f>Table1351452010[[#This Row],[ค่าเชื่อมสัญญาณ
(เรียกเก็บสุทธิ)]]*$AH$4</f>
        <v>0</v>
      </c>
      <c r="AI35" s="588">
        <f>Table1351452010[[#This Row],[Total
รายการเบิก
คอมขาย
(1)]]+Table1351452010[[#This Row],[Total
ค่าเชื่มสัญญาณ/ค่าติดตั้ง/
ค่าขายอุปกรณ์
(2)]]+Table1351452010[[#This Row],[Total 
คอมฯค่าเชื่อมสัญญาณ
(3)]]</f>
        <v>0</v>
      </c>
      <c r="AJ35" s="589"/>
      <c r="AK35" s="589"/>
      <c r="AL35" s="590"/>
      <c r="AM35" s="549"/>
    </row>
    <row r="36" spans="1:39" s="621" customFormat="1" ht="27" hidden="1" customHeight="1">
      <c r="A36" s="591">
        <v>22.678571428571502</v>
      </c>
      <c r="B36" s="592"/>
      <c r="C36" s="593"/>
      <c r="D36" s="594"/>
      <c r="E36" s="594"/>
      <c r="F36" s="595"/>
      <c r="G36" s="622"/>
      <c r="H36" s="728"/>
      <c r="I36" s="596"/>
      <c r="J36" s="594"/>
      <c r="K36" s="597"/>
      <c r="L36" s="597"/>
      <c r="M36" s="598"/>
      <c r="N36" s="599"/>
      <c r="O36" s="600"/>
      <c r="P36" s="759"/>
      <c r="Q36" s="762"/>
      <c r="R36" s="757"/>
      <c r="S36" s="757"/>
      <c r="T36" s="753"/>
      <c r="U36" s="392"/>
      <c r="V36" s="410"/>
      <c r="W36" s="412"/>
      <c r="X36" s="390"/>
      <c r="Y36" s="393"/>
      <c r="Z36" s="724" t="e">
        <f t="shared" ref="Z36" si="7">Z35/Y35</f>
        <v>#DIV/0!</v>
      </c>
      <c r="AA36" s="642"/>
      <c r="AB36" s="642"/>
      <c r="AC36" s="669"/>
      <c r="AD36" s="407"/>
      <c r="AE36" s="410"/>
      <c r="AF36" s="410"/>
      <c r="AG36" s="394"/>
      <c r="AH36" s="404"/>
      <c r="AI36" s="601"/>
      <c r="AJ36" s="602"/>
      <c r="AK36" s="602"/>
      <c r="AL36" s="603"/>
      <c r="AM36" s="549"/>
    </row>
    <row r="37" spans="1:39" s="621" customFormat="1" ht="27" hidden="1" customHeight="1">
      <c r="A37" s="591">
        <v>23.8857142857143</v>
      </c>
      <c r="B37" s="591"/>
      <c r="C37" s="604"/>
      <c r="D37" s="605"/>
      <c r="E37" s="605"/>
      <c r="F37" s="595"/>
      <c r="G37" s="622"/>
      <c r="H37" s="728"/>
      <c r="I37" s="596"/>
      <c r="J37" s="594"/>
      <c r="K37" s="597"/>
      <c r="L37" s="597"/>
      <c r="M37" s="594"/>
      <c r="N37" s="606"/>
      <c r="O37" s="607"/>
      <c r="P37" s="760"/>
      <c r="Q37" s="763"/>
      <c r="R37" s="758"/>
      <c r="S37" s="758"/>
      <c r="T37" s="754"/>
      <c r="U37" s="392"/>
      <c r="V37" s="410"/>
      <c r="W37" s="412"/>
      <c r="X37" s="390"/>
      <c r="Y37" s="393"/>
      <c r="Z37" s="393"/>
      <c r="AA37" s="642"/>
      <c r="AB37" s="642"/>
      <c r="AC37" s="670"/>
      <c r="AD37" s="408"/>
      <c r="AE37" s="410"/>
      <c r="AF37" s="410"/>
      <c r="AG37" s="394"/>
      <c r="AH37" s="404"/>
      <c r="AI37" s="601"/>
      <c r="AJ37" s="602"/>
      <c r="AK37" s="602"/>
      <c r="AL37" s="603"/>
      <c r="AM37" s="549"/>
    </row>
    <row r="38" spans="1:39" s="621" customFormat="1" ht="27" hidden="1" customHeight="1" thickBot="1">
      <c r="A38" s="608">
        <v>25.092857142857198</v>
      </c>
      <c r="B38" s="608"/>
      <c r="C38" s="609"/>
      <c r="D38" s="610"/>
      <c r="E38" s="610"/>
      <c r="F38" s="611"/>
      <c r="G38" s="612"/>
      <c r="H38" s="729"/>
      <c r="I38" s="613"/>
      <c r="J38" s="614"/>
      <c r="K38" s="615"/>
      <c r="L38" s="615"/>
      <c r="M38" s="614"/>
      <c r="N38" s="616"/>
      <c r="O38" s="617"/>
      <c r="P38" s="761"/>
      <c r="Q38" s="764"/>
      <c r="R38" s="765"/>
      <c r="S38" s="765"/>
      <c r="T38" s="766"/>
      <c r="U38" s="395"/>
      <c r="V38" s="411"/>
      <c r="W38" s="413"/>
      <c r="X38" s="741"/>
      <c r="Y38" s="725"/>
      <c r="Z38" s="725"/>
      <c r="AA38" s="643"/>
      <c r="AB38" s="643"/>
      <c r="AC38" s="671"/>
      <c r="AD38" s="409"/>
      <c r="AE38" s="411"/>
      <c r="AF38" s="411"/>
      <c r="AG38" s="396"/>
      <c r="AH38" s="405"/>
      <c r="AI38" s="618"/>
      <c r="AJ38" s="619"/>
      <c r="AK38" s="619"/>
      <c r="AL38" s="620"/>
      <c r="AM38" s="751"/>
    </row>
    <row r="39" spans="1:39" s="621" customFormat="1" ht="27" hidden="1" customHeight="1">
      <c r="A39" s="673">
        <v>9</v>
      </c>
      <c r="B39" s="674"/>
      <c r="C39" s="677"/>
      <c r="D39" s="675"/>
      <c r="E39" s="675"/>
      <c r="F39" s="833"/>
      <c r="G39" s="676"/>
      <c r="H39" s="834"/>
      <c r="I39" s="680"/>
      <c r="J39" s="678"/>
      <c r="K39" s="645"/>
      <c r="L39" s="646">
        <f>IF(Table1351452010[[#This Row],[หัก ณ ที่จ่าย
(ค่าบริการ)]]="มี",Table1351452010[[#This Row],[ค่าบริการเฉลี่ยต่อเดือน]]*3%,0)</f>
        <v>0</v>
      </c>
      <c r="M39" s="585">
        <f>Table1351452010[[#This Row],[ค่าบริการเฉลี่ยต่อเดือน]]-Table1351452010[[#This Row],[มูลค่าหัก 3%]]</f>
        <v>0</v>
      </c>
      <c r="N39" s="58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O39" s="840">
        <f>Table1351452010[[#This Row],[ระยะเวลาสัญญา
(เดือน)]]/$O$5</f>
        <v>0</v>
      </c>
      <c r="P39" s="841"/>
      <c r="Q39" s="842"/>
      <c r="R39" s="843"/>
      <c r="S39" s="843"/>
      <c r="T39" s="844"/>
      <c r="U39" s="679"/>
      <c r="V39" s="648"/>
      <c r="W39" s="649">
        <f>IF(Table1351452010[[#This Row],[หัก ณ ที่จ่าย
(ค่าติตั้ง)]]="มี",Table1351452010[[#This Row],[ค่าเชื่อมสัญญาณ/
ค่าติดตั้ง/
ค่าขายอุปกรณ์]]*$W$4,0)</f>
        <v>0</v>
      </c>
      <c r="X39" s="738">
        <f>Table1351452010[[#This Row],[ค่าเชื่อมสัญญาณ/
ค่าติดตั้ง/
ค่าขายอุปกรณ์]]-Table1351452010[[#This Row],[มูลค่าหัก 3%
(ค่าติดตั้ง)]]</f>
        <v>0</v>
      </c>
      <c r="Y39" s="739"/>
      <c r="Z39" s="723">
        <f>Table1351452010[[#This Row],[ค่าเชื่อมสัญญาณ/
ค่าติดตั้ง/
ค่าขายอุปกรณ์
(เรียกเก็บสุทธิ)]]-Table1351452010[[#This Row],[ต้นทุน]]</f>
        <v>0</v>
      </c>
      <c r="AA39" s="587" t="str">
        <f>IF(Table1351452010[[#This Row],[ส่วนต่างกำไร]]&lt;(Table1351452010[[#This Row],[ต้นทุน]]*5%),Table1351452010[[#This Row],[ค่าเชื่อมสัญญาณ/
ค่าติดตั้ง/
ค่าขายอุปกรณ์
(เรียกเก็บสุทธิ)]]*$AA$4,"0")</f>
        <v>0</v>
      </c>
      <c r="AB39" s="587">
        <f>IF(Table1351452010[[#This Row],[ส่วนต่างกำไร]]&gt;=(Table1351452010[[#This Row],[ต้นทุน]]*5%),Table1351452010[[#This Row],[ค่าเชื่อมสัญญาณ/
ค่าติดตั้ง/
ค่าขายอุปกรณ์
(เรียกเก็บสุทธิ)]]*$AB$4,"0")</f>
        <v>0</v>
      </c>
      <c r="AC39" s="668">
        <f>SUM(Table1351452010[[#This Row],[คอมฯ
 5%]:[คอมฯ
10%]])</f>
        <v>0</v>
      </c>
      <c r="AD39" s="681"/>
      <c r="AE39" s="648"/>
      <c r="AF39" s="672">
        <f>IF(Table1351452010[[#This Row],[หัก ณ ที่จ่าย
(ค่าเชื่อมสัญญาณ)]]="มี",Table1351452010[[#This Row],[ค่าเชื่อมสัญญาณ]]*$AF$4,0)</f>
        <v>0</v>
      </c>
      <c r="AG39" s="398">
        <f>Table1351452010[[#This Row],[ค่าเชื่อมสัญญาณ]]-Table1351452010[[#This Row],[มูลค่าหัก 3%
(ค่าเชื่อมสัญญาณ)]]</f>
        <v>0</v>
      </c>
      <c r="AH39" s="403">
        <f>Table1351452010[[#This Row],[ค่าเชื่อมสัญญาณ
(เรียกเก็บสุทธิ)]]*$AH$4</f>
        <v>0</v>
      </c>
      <c r="AI39" s="588">
        <f>Table1351452010[[#This Row],[Total
รายการเบิก
คอมขาย
(1)]]+Table1351452010[[#This Row],[Total
ค่าเชื่มสัญญาณ/ค่าติดตั้ง/
ค่าขายอุปกรณ์
(2)]]+Table1351452010[[#This Row],[Total 
คอมฯค่าเชื่อมสัญญาณ
(3)]]</f>
        <v>0</v>
      </c>
      <c r="AJ39" s="589"/>
      <c r="AK39" s="589"/>
      <c r="AL39" s="590"/>
      <c r="AM39" s="549"/>
    </row>
    <row r="40" spans="1:39" s="621" customFormat="1" ht="27" hidden="1" customHeight="1">
      <c r="A40" s="591">
        <v>22.678571428571502</v>
      </c>
      <c r="B40" s="592"/>
      <c r="C40" s="593"/>
      <c r="D40" s="594"/>
      <c r="E40" s="594"/>
      <c r="F40" s="595"/>
      <c r="G40" s="622"/>
      <c r="H40" s="728"/>
      <c r="I40" s="596"/>
      <c r="J40" s="594"/>
      <c r="K40" s="597"/>
      <c r="L40" s="597"/>
      <c r="M40" s="598"/>
      <c r="N40" s="599"/>
      <c r="O40" s="600"/>
      <c r="P40" s="759"/>
      <c r="Q40" s="762"/>
      <c r="R40" s="757"/>
      <c r="S40" s="757"/>
      <c r="T40" s="753"/>
      <c r="U40" s="392"/>
      <c r="V40" s="410"/>
      <c r="W40" s="412"/>
      <c r="X40" s="390"/>
      <c r="Y40" s="393"/>
      <c r="Z40" s="724" t="e">
        <f t="shared" ref="Z40" si="8">Z39/Y39</f>
        <v>#DIV/0!</v>
      </c>
      <c r="AA40" s="642"/>
      <c r="AB40" s="642"/>
      <c r="AC40" s="669"/>
      <c r="AD40" s="407"/>
      <c r="AE40" s="410"/>
      <c r="AF40" s="410"/>
      <c r="AG40" s="394"/>
      <c r="AH40" s="404"/>
      <c r="AI40" s="601"/>
      <c r="AJ40" s="602"/>
      <c r="AK40" s="602"/>
      <c r="AL40" s="603"/>
      <c r="AM40" s="549"/>
    </row>
    <row r="41" spans="1:39" s="621" customFormat="1" ht="27" hidden="1" customHeight="1">
      <c r="A41" s="591">
        <v>23.8857142857143</v>
      </c>
      <c r="B41" s="591"/>
      <c r="C41" s="604"/>
      <c r="D41" s="605"/>
      <c r="E41" s="605"/>
      <c r="F41" s="595"/>
      <c r="G41" s="622"/>
      <c r="H41" s="728"/>
      <c r="I41" s="596"/>
      <c r="J41" s="594"/>
      <c r="K41" s="597"/>
      <c r="L41" s="597"/>
      <c r="M41" s="594"/>
      <c r="N41" s="606"/>
      <c r="O41" s="607"/>
      <c r="P41" s="760"/>
      <c r="Q41" s="763"/>
      <c r="R41" s="758"/>
      <c r="S41" s="758"/>
      <c r="T41" s="754"/>
      <c r="U41" s="392"/>
      <c r="V41" s="410"/>
      <c r="W41" s="412"/>
      <c r="X41" s="390"/>
      <c r="Y41" s="393"/>
      <c r="Z41" s="393"/>
      <c r="AA41" s="642"/>
      <c r="AB41" s="642"/>
      <c r="AC41" s="670"/>
      <c r="AD41" s="408"/>
      <c r="AE41" s="410"/>
      <c r="AF41" s="410"/>
      <c r="AG41" s="394"/>
      <c r="AH41" s="404"/>
      <c r="AI41" s="601"/>
      <c r="AJ41" s="602"/>
      <c r="AK41" s="602"/>
      <c r="AL41" s="603"/>
      <c r="AM41" s="549"/>
    </row>
    <row r="42" spans="1:39" s="621" customFormat="1" ht="27" hidden="1" customHeight="1" thickBot="1">
      <c r="A42" s="608">
        <v>25.092857142857198</v>
      </c>
      <c r="B42" s="608"/>
      <c r="C42" s="609"/>
      <c r="D42" s="610"/>
      <c r="E42" s="610"/>
      <c r="F42" s="611"/>
      <c r="G42" s="612"/>
      <c r="H42" s="729"/>
      <c r="I42" s="613"/>
      <c r="J42" s="614"/>
      <c r="K42" s="615"/>
      <c r="L42" s="615"/>
      <c r="M42" s="614"/>
      <c r="N42" s="616"/>
      <c r="O42" s="617"/>
      <c r="P42" s="761"/>
      <c r="Q42" s="764"/>
      <c r="R42" s="765"/>
      <c r="S42" s="765"/>
      <c r="T42" s="766"/>
      <c r="U42" s="395"/>
      <c r="V42" s="411"/>
      <c r="W42" s="413"/>
      <c r="X42" s="741"/>
      <c r="Y42" s="725"/>
      <c r="Z42" s="725"/>
      <c r="AA42" s="643"/>
      <c r="AB42" s="643"/>
      <c r="AC42" s="671"/>
      <c r="AD42" s="409"/>
      <c r="AE42" s="411"/>
      <c r="AF42" s="411"/>
      <c r="AG42" s="396"/>
      <c r="AH42" s="405"/>
      <c r="AI42" s="618"/>
      <c r="AJ42" s="619"/>
      <c r="AK42" s="619"/>
      <c r="AL42" s="620"/>
      <c r="AM42" s="751"/>
    </row>
    <row r="43" spans="1:39" s="621" customFormat="1" ht="27" hidden="1" customHeight="1">
      <c r="A43" s="673">
        <v>10</v>
      </c>
      <c r="B43" s="674"/>
      <c r="C43" s="677"/>
      <c r="D43" s="675"/>
      <c r="E43" s="675"/>
      <c r="F43" s="833"/>
      <c r="G43" s="676"/>
      <c r="H43" s="834"/>
      <c r="I43" s="680"/>
      <c r="J43" s="678"/>
      <c r="K43" s="645"/>
      <c r="L43" s="646">
        <f>IF(Table1351452010[[#This Row],[หัก ณ ที่จ่าย
(ค่าบริการ)]]="มี",Table1351452010[[#This Row],[ค่าบริการเฉลี่ยต่อเดือน]]*3%,0)</f>
        <v>0</v>
      </c>
      <c r="M43" s="585">
        <f>Table1351452010[[#This Row],[ค่าบริการเฉลี่ยต่อเดือน]]-Table1351452010[[#This Row],[มูลค่าหัก 3%]]</f>
        <v>0</v>
      </c>
      <c r="N43" s="58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O43" s="840">
        <f>Table1351452010[[#This Row],[ระยะเวลาสัญญา
(เดือน)]]/$O$5</f>
        <v>0</v>
      </c>
      <c r="P43" s="841"/>
      <c r="Q43" s="842"/>
      <c r="R43" s="843"/>
      <c r="S43" s="843"/>
      <c r="T43" s="844"/>
      <c r="U43" s="679"/>
      <c r="V43" s="648"/>
      <c r="W43" s="649">
        <f>IF(Table1351452010[[#This Row],[หัก ณ ที่จ่าย
(ค่าติตั้ง)]]="มี",Table1351452010[[#This Row],[ค่าเชื่อมสัญญาณ/
ค่าติดตั้ง/
ค่าขายอุปกรณ์]]*$W$4,0)</f>
        <v>0</v>
      </c>
      <c r="X43" s="738">
        <f>Table1351452010[[#This Row],[ค่าเชื่อมสัญญาณ/
ค่าติดตั้ง/
ค่าขายอุปกรณ์]]-Table1351452010[[#This Row],[มูลค่าหัก 3%
(ค่าติดตั้ง)]]</f>
        <v>0</v>
      </c>
      <c r="Y43" s="739"/>
      <c r="Z43" s="723">
        <f>Table1351452010[[#This Row],[ค่าเชื่อมสัญญาณ/
ค่าติดตั้ง/
ค่าขายอุปกรณ์
(เรียกเก็บสุทธิ)]]-Table1351452010[[#This Row],[ต้นทุน]]</f>
        <v>0</v>
      </c>
      <c r="AA43" s="587" t="str">
        <f>IF(Table1351452010[[#This Row],[ส่วนต่างกำไร]]&lt;(Table1351452010[[#This Row],[ต้นทุน]]*5%),Table1351452010[[#This Row],[ค่าเชื่อมสัญญาณ/
ค่าติดตั้ง/
ค่าขายอุปกรณ์
(เรียกเก็บสุทธิ)]]*$AA$4,"0")</f>
        <v>0</v>
      </c>
      <c r="AB43" s="587">
        <f>IF(Table1351452010[[#This Row],[ส่วนต่างกำไร]]&gt;=(Table1351452010[[#This Row],[ต้นทุน]]*5%),Table1351452010[[#This Row],[ค่าเชื่อมสัญญาณ/
ค่าติดตั้ง/
ค่าขายอุปกรณ์
(เรียกเก็บสุทธิ)]]*$AB$4,"0")</f>
        <v>0</v>
      </c>
      <c r="AC43" s="668">
        <f>SUM(Table1351452010[[#This Row],[คอมฯ
 5%]:[คอมฯ
10%]])</f>
        <v>0</v>
      </c>
      <c r="AD43" s="681"/>
      <c r="AE43" s="648"/>
      <c r="AF43" s="672">
        <f>IF(Table1351452010[[#This Row],[หัก ณ ที่จ่าย
(ค่าเชื่อมสัญญาณ)]]="มี",Table1351452010[[#This Row],[ค่าเชื่อมสัญญาณ]]*$AF$4,0)</f>
        <v>0</v>
      </c>
      <c r="AG43" s="398">
        <f>Table1351452010[[#This Row],[ค่าเชื่อมสัญญาณ]]-Table1351452010[[#This Row],[มูลค่าหัก 3%
(ค่าเชื่อมสัญญาณ)]]</f>
        <v>0</v>
      </c>
      <c r="AH43" s="403">
        <f>Table1351452010[[#This Row],[ค่าเชื่อมสัญญาณ
(เรียกเก็บสุทธิ)]]*$AH$4</f>
        <v>0</v>
      </c>
      <c r="AI43" s="588">
        <f>Table1351452010[[#This Row],[Total
รายการเบิก
คอมขาย
(1)]]+Table1351452010[[#This Row],[Total
ค่าเชื่มสัญญาณ/ค่าติดตั้ง/
ค่าขายอุปกรณ์
(2)]]+Table1351452010[[#This Row],[Total 
คอมฯค่าเชื่อมสัญญาณ
(3)]]</f>
        <v>0</v>
      </c>
      <c r="AJ43" s="589"/>
      <c r="AK43" s="589"/>
      <c r="AL43" s="590"/>
      <c r="AM43" s="549"/>
    </row>
    <row r="44" spans="1:39" s="621" customFormat="1" ht="27" hidden="1" customHeight="1">
      <c r="A44" s="591">
        <v>22.678571428571502</v>
      </c>
      <c r="B44" s="592"/>
      <c r="C44" s="593"/>
      <c r="D44" s="594"/>
      <c r="E44" s="594"/>
      <c r="F44" s="595"/>
      <c r="G44" s="622"/>
      <c r="H44" s="728"/>
      <c r="I44" s="596"/>
      <c r="J44" s="594"/>
      <c r="K44" s="597"/>
      <c r="L44" s="597"/>
      <c r="M44" s="598"/>
      <c r="N44" s="599"/>
      <c r="O44" s="600"/>
      <c r="P44" s="759"/>
      <c r="Q44" s="762"/>
      <c r="R44" s="757"/>
      <c r="S44" s="757"/>
      <c r="T44" s="753"/>
      <c r="U44" s="392"/>
      <c r="V44" s="410"/>
      <c r="W44" s="412"/>
      <c r="X44" s="390"/>
      <c r="Y44" s="393"/>
      <c r="Z44" s="724" t="e">
        <f t="shared" ref="Z44" si="9">Z43/Y43</f>
        <v>#DIV/0!</v>
      </c>
      <c r="AA44" s="642"/>
      <c r="AB44" s="642"/>
      <c r="AC44" s="669"/>
      <c r="AD44" s="407"/>
      <c r="AE44" s="410"/>
      <c r="AF44" s="410"/>
      <c r="AG44" s="394"/>
      <c r="AH44" s="404"/>
      <c r="AI44" s="601"/>
      <c r="AJ44" s="602"/>
      <c r="AK44" s="602"/>
      <c r="AL44" s="603"/>
      <c r="AM44" s="549"/>
    </row>
    <row r="45" spans="1:39" s="621" customFormat="1" ht="27" hidden="1" customHeight="1">
      <c r="A45" s="591">
        <v>23.8857142857143</v>
      </c>
      <c r="B45" s="591"/>
      <c r="C45" s="604"/>
      <c r="D45" s="605"/>
      <c r="E45" s="605"/>
      <c r="F45" s="595"/>
      <c r="G45" s="622"/>
      <c r="H45" s="728"/>
      <c r="I45" s="596"/>
      <c r="J45" s="594"/>
      <c r="K45" s="597"/>
      <c r="L45" s="597"/>
      <c r="M45" s="594"/>
      <c r="N45" s="606"/>
      <c r="O45" s="607"/>
      <c r="P45" s="760"/>
      <c r="Q45" s="763"/>
      <c r="R45" s="758"/>
      <c r="S45" s="758"/>
      <c r="T45" s="754"/>
      <c r="U45" s="392"/>
      <c r="V45" s="410"/>
      <c r="W45" s="412"/>
      <c r="X45" s="390"/>
      <c r="Y45" s="393"/>
      <c r="Z45" s="393"/>
      <c r="AA45" s="642"/>
      <c r="AB45" s="642"/>
      <c r="AC45" s="670"/>
      <c r="AD45" s="408"/>
      <c r="AE45" s="410"/>
      <c r="AF45" s="410"/>
      <c r="AG45" s="394"/>
      <c r="AH45" s="404"/>
      <c r="AI45" s="601"/>
      <c r="AJ45" s="602"/>
      <c r="AK45" s="602"/>
      <c r="AL45" s="603"/>
      <c r="AM45" s="549"/>
    </row>
    <row r="46" spans="1:39" s="621" customFormat="1" ht="27" hidden="1" customHeight="1" thickBot="1">
      <c r="A46" s="608">
        <v>25.092857142857198</v>
      </c>
      <c r="B46" s="608"/>
      <c r="C46" s="609"/>
      <c r="D46" s="610"/>
      <c r="E46" s="610"/>
      <c r="F46" s="611"/>
      <c r="G46" s="612"/>
      <c r="H46" s="729"/>
      <c r="I46" s="613"/>
      <c r="J46" s="614"/>
      <c r="K46" s="615"/>
      <c r="L46" s="615"/>
      <c r="M46" s="614"/>
      <c r="N46" s="616"/>
      <c r="O46" s="617"/>
      <c r="P46" s="761"/>
      <c r="Q46" s="764"/>
      <c r="R46" s="765"/>
      <c r="S46" s="765"/>
      <c r="T46" s="766"/>
      <c r="U46" s="395"/>
      <c r="V46" s="411"/>
      <c r="W46" s="413"/>
      <c r="X46" s="741"/>
      <c r="Y46" s="725"/>
      <c r="Z46" s="725"/>
      <c r="AA46" s="643"/>
      <c r="AB46" s="643"/>
      <c r="AC46" s="671"/>
      <c r="AD46" s="409"/>
      <c r="AE46" s="411"/>
      <c r="AF46" s="411"/>
      <c r="AG46" s="396"/>
      <c r="AH46" s="405"/>
      <c r="AI46" s="618"/>
      <c r="AJ46" s="619"/>
      <c r="AK46" s="619"/>
      <c r="AL46" s="620"/>
      <c r="AM46" s="751"/>
    </row>
    <row r="47" spans="1:39" s="621" customFormat="1" ht="27" hidden="1" customHeight="1">
      <c r="A47" s="673">
        <v>11</v>
      </c>
      <c r="B47" s="674"/>
      <c r="C47" s="677"/>
      <c r="D47" s="675"/>
      <c r="E47" s="675"/>
      <c r="F47" s="833"/>
      <c r="G47" s="676"/>
      <c r="H47" s="834"/>
      <c r="I47" s="680"/>
      <c r="J47" s="678"/>
      <c r="K47" s="645"/>
      <c r="L47" s="646">
        <f>IF(Table1351452010[[#This Row],[หัก ณ ที่จ่าย
(ค่าบริการ)]]="มี",Table1351452010[[#This Row],[ค่าบริการเฉลี่ยต่อเดือน]]*3%,0)</f>
        <v>0</v>
      </c>
      <c r="M47" s="585">
        <f>Table1351452010[[#This Row],[ค่าบริการเฉลี่ยต่อเดือน]]-Table1351452010[[#This Row],[มูลค่าหัก 3%]]</f>
        <v>0</v>
      </c>
      <c r="N47" s="58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O47" s="840">
        <f>Table1351452010[[#This Row],[ระยะเวลาสัญญา
(เดือน)]]/$O$5</f>
        <v>0</v>
      </c>
      <c r="P47" s="841"/>
      <c r="Q47" s="842"/>
      <c r="R47" s="843"/>
      <c r="S47" s="843"/>
      <c r="T47" s="844"/>
      <c r="U47" s="679"/>
      <c r="V47" s="648"/>
      <c r="W47" s="649">
        <f>IF(Table1351452010[[#This Row],[หัก ณ ที่จ่าย
(ค่าติตั้ง)]]="มี",Table1351452010[[#This Row],[ค่าเชื่อมสัญญาณ/
ค่าติดตั้ง/
ค่าขายอุปกรณ์]]*$W$4,0)</f>
        <v>0</v>
      </c>
      <c r="X47" s="738">
        <f>Table1351452010[[#This Row],[ค่าเชื่อมสัญญาณ/
ค่าติดตั้ง/
ค่าขายอุปกรณ์]]-Table1351452010[[#This Row],[มูลค่าหัก 3%
(ค่าติดตั้ง)]]</f>
        <v>0</v>
      </c>
      <c r="Y47" s="739"/>
      <c r="Z47" s="723">
        <f>Table1351452010[[#This Row],[ค่าเชื่อมสัญญาณ/
ค่าติดตั้ง/
ค่าขายอุปกรณ์
(เรียกเก็บสุทธิ)]]-Table1351452010[[#This Row],[ต้นทุน]]</f>
        <v>0</v>
      </c>
      <c r="AA47" s="587" t="str">
        <f>IF(Table1351452010[[#This Row],[ส่วนต่างกำไร]]&lt;(Table1351452010[[#This Row],[ต้นทุน]]*5%),Table1351452010[[#This Row],[ค่าเชื่อมสัญญาณ/
ค่าติดตั้ง/
ค่าขายอุปกรณ์
(เรียกเก็บสุทธิ)]]*$AA$4,"0")</f>
        <v>0</v>
      </c>
      <c r="AB47" s="587">
        <f>IF(Table1351452010[[#This Row],[ส่วนต่างกำไร]]&gt;=(Table1351452010[[#This Row],[ต้นทุน]]*5%),Table1351452010[[#This Row],[ค่าเชื่อมสัญญาณ/
ค่าติดตั้ง/
ค่าขายอุปกรณ์
(เรียกเก็บสุทธิ)]]*$AB$4,"0")</f>
        <v>0</v>
      </c>
      <c r="AC47" s="668">
        <f>SUM(Table1351452010[[#This Row],[คอมฯ
 5%]:[คอมฯ
10%]])</f>
        <v>0</v>
      </c>
      <c r="AD47" s="681"/>
      <c r="AE47" s="648"/>
      <c r="AF47" s="672">
        <f>IF(Table1351452010[[#This Row],[หัก ณ ที่จ่าย
(ค่าเชื่อมสัญญาณ)]]="มี",Table1351452010[[#This Row],[ค่าเชื่อมสัญญาณ]]*$AF$4,0)</f>
        <v>0</v>
      </c>
      <c r="AG47" s="398">
        <f>Table1351452010[[#This Row],[ค่าเชื่อมสัญญาณ]]-Table1351452010[[#This Row],[มูลค่าหัก 3%
(ค่าเชื่อมสัญญาณ)]]</f>
        <v>0</v>
      </c>
      <c r="AH47" s="403">
        <f>Table1351452010[[#This Row],[ค่าเชื่อมสัญญาณ
(เรียกเก็บสุทธิ)]]*$AH$4</f>
        <v>0</v>
      </c>
      <c r="AI47" s="588">
        <f>Table1351452010[[#This Row],[Total
รายการเบิก
คอมขาย
(1)]]+Table1351452010[[#This Row],[Total
ค่าเชื่มสัญญาณ/ค่าติดตั้ง/
ค่าขายอุปกรณ์
(2)]]+Table1351452010[[#This Row],[Total 
คอมฯค่าเชื่อมสัญญาณ
(3)]]</f>
        <v>0</v>
      </c>
      <c r="AJ47" s="589"/>
      <c r="AK47" s="589"/>
      <c r="AL47" s="590"/>
      <c r="AM47" s="549"/>
    </row>
    <row r="48" spans="1:39" s="621" customFormat="1" ht="27" hidden="1" customHeight="1">
      <c r="A48" s="591">
        <v>22.678571428571502</v>
      </c>
      <c r="B48" s="592"/>
      <c r="C48" s="593"/>
      <c r="D48" s="594"/>
      <c r="E48" s="594"/>
      <c r="F48" s="595"/>
      <c r="G48" s="622"/>
      <c r="H48" s="728"/>
      <c r="I48" s="596"/>
      <c r="J48" s="594"/>
      <c r="K48" s="597"/>
      <c r="L48" s="597"/>
      <c r="M48" s="598"/>
      <c r="N48" s="599"/>
      <c r="O48" s="600"/>
      <c r="P48" s="759"/>
      <c r="Q48" s="762"/>
      <c r="R48" s="757"/>
      <c r="S48" s="757"/>
      <c r="T48" s="753"/>
      <c r="U48" s="392"/>
      <c r="V48" s="410"/>
      <c r="W48" s="412"/>
      <c r="X48" s="390"/>
      <c r="Y48" s="393"/>
      <c r="Z48" s="724" t="e">
        <f t="shared" ref="Z48" si="10">Z47/Y47</f>
        <v>#DIV/0!</v>
      </c>
      <c r="AA48" s="642"/>
      <c r="AB48" s="642"/>
      <c r="AC48" s="669"/>
      <c r="AD48" s="407"/>
      <c r="AE48" s="410"/>
      <c r="AF48" s="410"/>
      <c r="AG48" s="394"/>
      <c r="AH48" s="404"/>
      <c r="AI48" s="601"/>
      <c r="AJ48" s="602"/>
      <c r="AK48" s="602"/>
      <c r="AL48" s="603"/>
      <c r="AM48" s="549"/>
    </row>
    <row r="49" spans="1:40" s="621" customFormat="1" ht="27" hidden="1" customHeight="1">
      <c r="A49" s="591">
        <v>23.8857142857143</v>
      </c>
      <c r="B49" s="591"/>
      <c r="C49" s="604"/>
      <c r="D49" s="605"/>
      <c r="E49" s="605"/>
      <c r="F49" s="595"/>
      <c r="G49" s="622"/>
      <c r="H49" s="728"/>
      <c r="I49" s="596"/>
      <c r="J49" s="594"/>
      <c r="K49" s="597"/>
      <c r="L49" s="597"/>
      <c r="M49" s="594"/>
      <c r="N49" s="606"/>
      <c r="O49" s="607"/>
      <c r="P49" s="760"/>
      <c r="Q49" s="763"/>
      <c r="R49" s="758"/>
      <c r="S49" s="758"/>
      <c r="T49" s="754"/>
      <c r="U49" s="392"/>
      <c r="V49" s="410"/>
      <c r="W49" s="412"/>
      <c r="X49" s="390"/>
      <c r="Y49" s="393"/>
      <c r="Z49" s="393"/>
      <c r="AA49" s="642"/>
      <c r="AB49" s="642"/>
      <c r="AC49" s="670"/>
      <c r="AD49" s="408"/>
      <c r="AE49" s="410"/>
      <c r="AF49" s="410"/>
      <c r="AG49" s="394"/>
      <c r="AH49" s="404"/>
      <c r="AI49" s="601"/>
      <c r="AJ49" s="602"/>
      <c r="AK49" s="602"/>
      <c r="AL49" s="603"/>
      <c r="AM49" s="549"/>
    </row>
    <row r="50" spans="1:40" s="621" customFormat="1" ht="27" hidden="1" customHeight="1" thickBot="1">
      <c r="A50" s="608">
        <v>25.092857142857198</v>
      </c>
      <c r="B50" s="608"/>
      <c r="C50" s="609"/>
      <c r="D50" s="610"/>
      <c r="E50" s="610"/>
      <c r="F50" s="611"/>
      <c r="G50" s="612"/>
      <c r="H50" s="729"/>
      <c r="I50" s="613"/>
      <c r="J50" s="614"/>
      <c r="K50" s="615"/>
      <c r="L50" s="615"/>
      <c r="M50" s="614"/>
      <c r="N50" s="616"/>
      <c r="O50" s="617"/>
      <c r="P50" s="761"/>
      <c r="Q50" s="764"/>
      <c r="R50" s="765"/>
      <c r="S50" s="765"/>
      <c r="T50" s="766"/>
      <c r="U50" s="395"/>
      <c r="V50" s="411"/>
      <c r="W50" s="413"/>
      <c r="X50" s="741"/>
      <c r="Y50" s="725"/>
      <c r="Z50" s="725"/>
      <c r="AA50" s="643"/>
      <c r="AB50" s="643"/>
      <c r="AC50" s="671"/>
      <c r="AD50" s="409"/>
      <c r="AE50" s="411"/>
      <c r="AF50" s="411"/>
      <c r="AG50" s="396"/>
      <c r="AH50" s="405"/>
      <c r="AI50" s="618"/>
      <c r="AJ50" s="619"/>
      <c r="AK50" s="619"/>
      <c r="AL50" s="620"/>
      <c r="AM50" s="751"/>
    </row>
    <row r="51" spans="1:40" s="621" customFormat="1" ht="27" hidden="1" customHeight="1">
      <c r="A51" s="673">
        <v>12</v>
      </c>
      <c r="B51" s="674"/>
      <c r="C51" s="677"/>
      <c r="D51" s="675"/>
      <c r="E51" s="675"/>
      <c r="F51" s="833"/>
      <c r="G51" s="676"/>
      <c r="H51" s="834"/>
      <c r="I51" s="680"/>
      <c r="J51" s="678"/>
      <c r="K51" s="645"/>
      <c r="L51" s="646">
        <f>IF(Table1351452010[[#This Row],[หัก ณ ที่จ่าย
(ค่าบริการ)]]="มี",Table1351452010[[#This Row],[ค่าบริการเฉลี่ยต่อเดือน]]*3%,0)</f>
        <v>0</v>
      </c>
      <c r="M51" s="585">
        <f>Table1351452010[[#This Row],[ค่าบริการเฉลี่ยต่อเดือน]]-Table1351452010[[#This Row],[มูลค่าหัก 3%]]</f>
        <v>0</v>
      </c>
      <c r="N51" s="58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O51" s="840">
        <f>Table1351452010[[#This Row],[ระยะเวลาสัญญา
(เดือน)]]/$O$5</f>
        <v>0</v>
      </c>
      <c r="P51" s="841"/>
      <c r="Q51" s="842"/>
      <c r="R51" s="843"/>
      <c r="S51" s="843"/>
      <c r="T51" s="844"/>
      <c r="U51" s="679"/>
      <c r="V51" s="648"/>
      <c r="W51" s="649">
        <f>IF(Table1351452010[[#This Row],[หัก ณ ที่จ่าย
(ค่าติตั้ง)]]="มี",Table1351452010[[#This Row],[ค่าเชื่อมสัญญาณ/
ค่าติดตั้ง/
ค่าขายอุปกรณ์]]*$W$4,0)</f>
        <v>0</v>
      </c>
      <c r="X51" s="738">
        <f>Table1351452010[[#This Row],[ค่าเชื่อมสัญญาณ/
ค่าติดตั้ง/
ค่าขายอุปกรณ์]]-Table1351452010[[#This Row],[มูลค่าหัก 3%
(ค่าติดตั้ง)]]</f>
        <v>0</v>
      </c>
      <c r="Y51" s="739"/>
      <c r="Z51" s="723">
        <f>Table1351452010[[#This Row],[ค่าเชื่อมสัญญาณ/
ค่าติดตั้ง/
ค่าขายอุปกรณ์
(เรียกเก็บสุทธิ)]]-Table1351452010[[#This Row],[ต้นทุน]]</f>
        <v>0</v>
      </c>
      <c r="AA51" s="587" t="str">
        <f>IF(Table1351452010[[#This Row],[ส่วนต่างกำไร]]&lt;(Table1351452010[[#This Row],[ต้นทุน]]*5%),Table1351452010[[#This Row],[ค่าเชื่อมสัญญาณ/
ค่าติดตั้ง/
ค่าขายอุปกรณ์
(เรียกเก็บสุทธิ)]]*$AA$4,"0")</f>
        <v>0</v>
      </c>
      <c r="AB51" s="587">
        <f>IF(Table1351452010[[#This Row],[ส่วนต่างกำไร]]&gt;=(Table1351452010[[#This Row],[ต้นทุน]]*5%),Table1351452010[[#This Row],[ค่าเชื่อมสัญญาณ/
ค่าติดตั้ง/
ค่าขายอุปกรณ์
(เรียกเก็บสุทธิ)]]*$AB$4,"0")</f>
        <v>0</v>
      </c>
      <c r="AC51" s="668">
        <f>SUM(Table1351452010[[#This Row],[คอมฯ
 5%]:[คอมฯ
10%]])</f>
        <v>0</v>
      </c>
      <c r="AD51" s="681"/>
      <c r="AE51" s="648"/>
      <c r="AF51" s="672">
        <f>IF(Table1351452010[[#This Row],[หัก ณ ที่จ่าย
(ค่าเชื่อมสัญญาณ)]]="มี",Table1351452010[[#This Row],[ค่าเชื่อมสัญญาณ]]*$AF$4,0)</f>
        <v>0</v>
      </c>
      <c r="AG51" s="398">
        <f>Table1351452010[[#This Row],[ค่าเชื่อมสัญญาณ]]-Table1351452010[[#This Row],[มูลค่าหัก 3%
(ค่าเชื่อมสัญญาณ)]]</f>
        <v>0</v>
      </c>
      <c r="AH51" s="403">
        <f>Table1351452010[[#This Row],[ค่าเชื่อมสัญญาณ
(เรียกเก็บสุทธิ)]]*$AH$4</f>
        <v>0</v>
      </c>
      <c r="AI51" s="588">
        <f>Table1351452010[[#This Row],[Total
รายการเบิก
คอมขาย
(1)]]+Table1351452010[[#This Row],[Total
ค่าเชื่มสัญญาณ/ค่าติดตั้ง/
ค่าขายอุปกรณ์
(2)]]+Table1351452010[[#This Row],[Total 
คอมฯค่าเชื่อมสัญญาณ
(3)]]</f>
        <v>0</v>
      </c>
      <c r="AJ51" s="589"/>
      <c r="AK51" s="589"/>
      <c r="AL51" s="590"/>
      <c r="AM51" s="549"/>
    </row>
    <row r="52" spans="1:40" s="621" customFormat="1" ht="27" hidden="1" customHeight="1">
      <c r="A52" s="591">
        <v>22.678571428571502</v>
      </c>
      <c r="B52" s="592"/>
      <c r="C52" s="593"/>
      <c r="D52" s="594"/>
      <c r="E52" s="594"/>
      <c r="F52" s="595"/>
      <c r="G52" s="622"/>
      <c r="H52" s="728"/>
      <c r="I52" s="596"/>
      <c r="J52" s="594"/>
      <c r="K52" s="597"/>
      <c r="L52" s="597"/>
      <c r="M52" s="598"/>
      <c r="N52" s="599"/>
      <c r="O52" s="600"/>
      <c r="P52" s="759"/>
      <c r="Q52" s="762"/>
      <c r="R52" s="757"/>
      <c r="S52" s="757"/>
      <c r="T52" s="753"/>
      <c r="U52" s="392"/>
      <c r="V52" s="410"/>
      <c r="W52" s="412"/>
      <c r="X52" s="390"/>
      <c r="Y52" s="393"/>
      <c r="Z52" s="724" t="e">
        <f t="shared" ref="Z52" si="11">Z51/Y51</f>
        <v>#DIV/0!</v>
      </c>
      <c r="AA52" s="642"/>
      <c r="AB52" s="642"/>
      <c r="AC52" s="669"/>
      <c r="AD52" s="407"/>
      <c r="AE52" s="410"/>
      <c r="AF52" s="410"/>
      <c r="AG52" s="394"/>
      <c r="AH52" s="404"/>
      <c r="AI52" s="601"/>
      <c r="AJ52" s="602"/>
      <c r="AK52" s="602"/>
      <c r="AL52" s="603"/>
      <c r="AM52" s="549"/>
    </row>
    <row r="53" spans="1:40" s="621" customFormat="1" ht="27" hidden="1" customHeight="1">
      <c r="A53" s="591">
        <v>23.8857142857143</v>
      </c>
      <c r="B53" s="591"/>
      <c r="C53" s="604"/>
      <c r="D53" s="605"/>
      <c r="E53" s="605"/>
      <c r="F53" s="595"/>
      <c r="G53" s="622"/>
      <c r="H53" s="728"/>
      <c r="I53" s="596"/>
      <c r="J53" s="594"/>
      <c r="K53" s="597"/>
      <c r="L53" s="597"/>
      <c r="M53" s="594"/>
      <c r="N53" s="606"/>
      <c r="O53" s="607"/>
      <c r="P53" s="760"/>
      <c r="Q53" s="763"/>
      <c r="R53" s="758"/>
      <c r="S53" s="758"/>
      <c r="T53" s="754"/>
      <c r="U53" s="392"/>
      <c r="V53" s="410"/>
      <c r="W53" s="412"/>
      <c r="X53" s="390"/>
      <c r="Y53" s="393"/>
      <c r="Z53" s="393"/>
      <c r="AA53" s="642"/>
      <c r="AB53" s="642"/>
      <c r="AC53" s="670"/>
      <c r="AD53" s="408"/>
      <c r="AE53" s="410"/>
      <c r="AF53" s="410"/>
      <c r="AG53" s="394"/>
      <c r="AH53" s="404"/>
      <c r="AI53" s="601"/>
      <c r="AJ53" s="602"/>
      <c r="AK53" s="602"/>
      <c r="AL53" s="603"/>
      <c r="AM53" s="549"/>
    </row>
    <row r="54" spans="1:40" s="621" customFormat="1" ht="27" hidden="1" customHeight="1" thickBot="1">
      <c r="A54" s="608">
        <v>25.092857142857198</v>
      </c>
      <c r="B54" s="608"/>
      <c r="C54" s="609"/>
      <c r="D54" s="610"/>
      <c r="E54" s="610"/>
      <c r="F54" s="611"/>
      <c r="G54" s="612"/>
      <c r="H54" s="729"/>
      <c r="I54" s="613"/>
      <c r="J54" s="614"/>
      <c r="K54" s="615"/>
      <c r="L54" s="615"/>
      <c r="M54" s="614"/>
      <c r="N54" s="616"/>
      <c r="O54" s="617"/>
      <c r="P54" s="761"/>
      <c r="Q54" s="764"/>
      <c r="R54" s="765"/>
      <c r="S54" s="765"/>
      <c r="T54" s="766"/>
      <c r="U54" s="395"/>
      <c r="V54" s="411"/>
      <c r="W54" s="413"/>
      <c r="X54" s="741"/>
      <c r="Y54" s="725"/>
      <c r="Z54" s="725"/>
      <c r="AA54" s="643"/>
      <c r="AB54" s="643"/>
      <c r="AC54" s="671"/>
      <c r="AD54" s="409"/>
      <c r="AE54" s="411"/>
      <c r="AF54" s="411"/>
      <c r="AG54" s="396"/>
      <c r="AH54" s="405"/>
      <c r="AI54" s="618"/>
      <c r="AJ54" s="619"/>
      <c r="AK54" s="619"/>
      <c r="AL54" s="620"/>
      <c r="AM54" s="751"/>
    </row>
    <row r="55" spans="1:40" s="621" customFormat="1" ht="27" hidden="1" customHeight="1">
      <c r="A55" s="673">
        <v>13</v>
      </c>
      <c r="B55" s="674"/>
      <c r="C55" s="677"/>
      <c r="D55" s="675"/>
      <c r="E55" s="675"/>
      <c r="F55" s="833"/>
      <c r="G55" s="676"/>
      <c r="H55" s="834"/>
      <c r="I55" s="680"/>
      <c r="J55" s="678"/>
      <c r="K55" s="645"/>
      <c r="L55" s="646">
        <f>IF(Table1351452010[[#This Row],[หัก ณ ที่จ่าย
(ค่าบริการ)]]="มี",Table1351452010[[#This Row],[ค่าบริการเฉลี่ยต่อเดือน]]*3%,0)</f>
        <v>0</v>
      </c>
      <c r="M55" s="585">
        <f>Table1351452010[[#This Row],[ค่าบริการเฉลี่ยต่อเดือน]]-Table1351452010[[#This Row],[มูลค่าหัก 3%]]</f>
        <v>0</v>
      </c>
      <c r="N55" s="586">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O55" s="840">
        <f>Table1351452010[[#This Row],[ระยะเวลาสัญญา
(เดือน)]]/$O$5</f>
        <v>0</v>
      </c>
      <c r="P55" s="841"/>
      <c r="Q55" s="842"/>
      <c r="R55" s="843"/>
      <c r="S55" s="843"/>
      <c r="T55" s="844"/>
      <c r="U55" s="679"/>
      <c r="V55" s="648"/>
      <c r="W55" s="649">
        <f>IF(Table1351452010[[#This Row],[หัก ณ ที่จ่าย
(ค่าติตั้ง)]]="มี",Table1351452010[[#This Row],[ค่าเชื่อมสัญญาณ/
ค่าติดตั้ง/
ค่าขายอุปกรณ์]]*$W$4,0)</f>
        <v>0</v>
      </c>
      <c r="X55" s="738">
        <f>Table1351452010[[#This Row],[ค่าเชื่อมสัญญาณ/
ค่าติดตั้ง/
ค่าขายอุปกรณ์]]-Table1351452010[[#This Row],[มูลค่าหัก 3%
(ค่าติดตั้ง)]]</f>
        <v>0</v>
      </c>
      <c r="Y55" s="739"/>
      <c r="Z55" s="723">
        <f>Table1351452010[[#This Row],[ค่าเชื่อมสัญญาณ/
ค่าติดตั้ง/
ค่าขายอุปกรณ์
(เรียกเก็บสุทธิ)]]-Table1351452010[[#This Row],[ต้นทุน]]</f>
        <v>0</v>
      </c>
      <c r="AA55" s="587" t="str">
        <f>IF(Table1351452010[[#This Row],[ส่วนต่างกำไร]]&lt;(Table1351452010[[#This Row],[ต้นทุน]]*5%),Table1351452010[[#This Row],[ค่าเชื่อมสัญญาณ/
ค่าติดตั้ง/
ค่าขายอุปกรณ์
(เรียกเก็บสุทธิ)]]*$AA$4,"0")</f>
        <v>0</v>
      </c>
      <c r="AB55" s="587">
        <f>IF(Table1351452010[[#This Row],[ส่วนต่างกำไร]]&gt;=(Table1351452010[[#This Row],[ต้นทุน]]*5%),Table1351452010[[#This Row],[ค่าเชื่อมสัญญาณ/
ค่าติดตั้ง/
ค่าขายอุปกรณ์
(เรียกเก็บสุทธิ)]]*$AB$4,"0")</f>
        <v>0</v>
      </c>
      <c r="AC55" s="668">
        <f>SUM(Table1351452010[[#This Row],[คอมฯ
 5%]:[คอมฯ
10%]])</f>
        <v>0</v>
      </c>
      <c r="AD55" s="681"/>
      <c r="AE55" s="648"/>
      <c r="AF55" s="672">
        <f>IF(Table1351452010[[#This Row],[หัก ณ ที่จ่าย
(ค่าเชื่อมสัญญาณ)]]="มี",Table1351452010[[#This Row],[ค่าเชื่อมสัญญาณ]]*$AF$4,0)</f>
        <v>0</v>
      </c>
      <c r="AG55" s="398">
        <f>Table1351452010[[#This Row],[ค่าเชื่อมสัญญาณ]]-Table1351452010[[#This Row],[มูลค่าหัก 3%
(ค่าเชื่อมสัญญาณ)]]</f>
        <v>0</v>
      </c>
      <c r="AH55" s="403">
        <f>Table1351452010[[#This Row],[ค่าเชื่อมสัญญาณ
(เรียกเก็บสุทธิ)]]*$AH$4</f>
        <v>0</v>
      </c>
      <c r="AI55" s="588">
        <f>Table1351452010[[#This Row],[Total
รายการเบิก
คอมขาย
(1)]]+Table1351452010[[#This Row],[Total
ค่าเชื่มสัญญาณ/ค่าติดตั้ง/
ค่าขายอุปกรณ์
(2)]]+Table1351452010[[#This Row],[Total 
คอมฯค่าเชื่อมสัญญาณ
(3)]]</f>
        <v>0</v>
      </c>
      <c r="AJ55" s="589"/>
      <c r="AK55" s="589"/>
      <c r="AL55" s="590"/>
      <c r="AM55" s="549"/>
    </row>
    <row r="56" spans="1:40" s="621" customFormat="1" ht="27" hidden="1" customHeight="1">
      <c r="A56" s="591">
        <v>22.678571428571502</v>
      </c>
      <c r="B56" s="592"/>
      <c r="C56" s="593"/>
      <c r="D56" s="594"/>
      <c r="E56" s="594"/>
      <c r="F56" s="595"/>
      <c r="G56" s="622"/>
      <c r="H56" s="728"/>
      <c r="I56" s="596"/>
      <c r="J56" s="594"/>
      <c r="K56" s="597"/>
      <c r="L56" s="597"/>
      <c r="M56" s="598"/>
      <c r="N56" s="599"/>
      <c r="O56" s="600"/>
      <c r="P56" s="759"/>
      <c r="Q56" s="762"/>
      <c r="R56" s="757"/>
      <c r="S56" s="757"/>
      <c r="T56" s="753"/>
      <c r="U56" s="392"/>
      <c r="V56" s="410"/>
      <c r="W56" s="412"/>
      <c r="X56" s="390"/>
      <c r="Y56" s="393"/>
      <c r="Z56" s="724" t="e">
        <f t="shared" ref="Z56" si="12">Z55/Y55</f>
        <v>#DIV/0!</v>
      </c>
      <c r="AA56" s="642"/>
      <c r="AB56" s="642"/>
      <c r="AC56" s="669"/>
      <c r="AD56" s="407"/>
      <c r="AE56" s="410"/>
      <c r="AF56" s="410"/>
      <c r="AG56" s="394"/>
      <c r="AH56" s="404"/>
      <c r="AI56" s="601"/>
      <c r="AJ56" s="602"/>
      <c r="AK56" s="602"/>
      <c r="AL56" s="603"/>
      <c r="AM56" s="549"/>
    </row>
    <row r="57" spans="1:40" s="621" customFormat="1" ht="27" hidden="1" customHeight="1">
      <c r="A57" s="591">
        <v>23.8857142857143</v>
      </c>
      <c r="B57" s="591"/>
      <c r="C57" s="604"/>
      <c r="D57" s="605"/>
      <c r="E57" s="605"/>
      <c r="F57" s="595"/>
      <c r="G57" s="622"/>
      <c r="H57" s="728"/>
      <c r="I57" s="596"/>
      <c r="J57" s="594"/>
      <c r="K57" s="597"/>
      <c r="L57" s="597"/>
      <c r="M57" s="594"/>
      <c r="N57" s="606"/>
      <c r="O57" s="607"/>
      <c r="P57" s="760"/>
      <c r="Q57" s="763"/>
      <c r="R57" s="758"/>
      <c r="S57" s="758"/>
      <c r="T57" s="754"/>
      <c r="U57" s="392"/>
      <c r="V57" s="410"/>
      <c r="W57" s="412"/>
      <c r="X57" s="390"/>
      <c r="Y57" s="393"/>
      <c r="Z57" s="393"/>
      <c r="AA57" s="642"/>
      <c r="AB57" s="642"/>
      <c r="AC57" s="670"/>
      <c r="AD57" s="408"/>
      <c r="AE57" s="410"/>
      <c r="AF57" s="410"/>
      <c r="AG57" s="394"/>
      <c r="AH57" s="404"/>
      <c r="AI57" s="601"/>
      <c r="AJ57" s="602"/>
      <c r="AK57" s="602"/>
      <c r="AL57" s="603"/>
      <c r="AM57" s="549"/>
    </row>
    <row r="58" spans="1:40" s="621" customFormat="1" ht="27" hidden="1" customHeight="1" thickBot="1">
      <c r="A58" s="608">
        <v>25.092857142857198</v>
      </c>
      <c r="B58" s="608"/>
      <c r="C58" s="609"/>
      <c r="D58" s="610"/>
      <c r="E58" s="610"/>
      <c r="F58" s="611"/>
      <c r="G58" s="612"/>
      <c r="H58" s="729"/>
      <c r="I58" s="613"/>
      <c r="J58" s="614"/>
      <c r="K58" s="615"/>
      <c r="L58" s="615"/>
      <c r="M58" s="614"/>
      <c r="N58" s="616"/>
      <c r="O58" s="617"/>
      <c r="P58" s="761"/>
      <c r="Q58" s="764"/>
      <c r="R58" s="765"/>
      <c r="S58" s="765"/>
      <c r="T58" s="766"/>
      <c r="U58" s="395"/>
      <c r="V58" s="411"/>
      <c r="W58" s="413"/>
      <c r="X58" s="741"/>
      <c r="Y58" s="725"/>
      <c r="Z58" s="725"/>
      <c r="AA58" s="643"/>
      <c r="AB58" s="643"/>
      <c r="AC58" s="671"/>
      <c r="AD58" s="409"/>
      <c r="AE58" s="411"/>
      <c r="AF58" s="411"/>
      <c r="AG58" s="396"/>
      <c r="AH58" s="405"/>
      <c r="AI58" s="618"/>
      <c r="AJ58" s="619"/>
      <c r="AK58" s="619"/>
      <c r="AL58" s="620"/>
      <c r="AM58" s="751"/>
    </row>
    <row r="59" spans="1:40" s="625" customFormat="1" ht="28.5" customHeight="1" thickBot="1">
      <c r="A59" s="661"/>
      <c r="B59" s="661"/>
      <c r="C59" s="662" t="s">
        <v>5</v>
      </c>
      <c r="D59" s="662"/>
      <c r="E59" s="662"/>
      <c r="F59" s="662"/>
      <c r="G59" s="663"/>
      <c r="H59" s="730"/>
      <c r="I59" s="663"/>
      <c r="J59" s="623"/>
      <c r="K59" s="664"/>
      <c r="L59" s="665">
        <f>SUM(L7:L58)</f>
        <v>1092.03</v>
      </c>
      <c r="M59" s="623">
        <f>SUM(M7:M58)</f>
        <v>43308.97</v>
      </c>
      <c r="N59" s="623">
        <f>SUM(N7:N58)</f>
        <v>33064.33</v>
      </c>
      <c r="O59" s="666"/>
      <c r="P59" s="666"/>
      <c r="Q59" s="666"/>
      <c r="R59" s="666"/>
      <c r="S59" s="666"/>
      <c r="T59" s="666"/>
      <c r="U59" s="406">
        <f>SUM(U7:U58)</f>
        <v>82500</v>
      </c>
      <c r="V59" s="667"/>
      <c r="W59" s="406">
        <f>SUM(W7:W58)</f>
        <v>2475</v>
      </c>
      <c r="X59" s="406">
        <f>SUM(X7:X58)</f>
        <v>80025</v>
      </c>
      <c r="Y59" s="406">
        <f>SUM(Y7:Y58)</f>
        <v>248308</v>
      </c>
      <c r="Z59" s="406">
        <f>Z7+Z11+Z15+Z19+Z23+Z27+Z31+Z35+Z39+Z43+Z47+Z51+Z55</f>
        <v>-168283</v>
      </c>
      <c r="AA59" s="623">
        <f>SUM(AA7:AA58)</f>
        <v>606.25</v>
      </c>
      <c r="AB59" s="623">
        <f>SUM(AB7:AB58)</f>
        <v>6790</v>
      </c>
      <c r="AC59" s="623">
        <f>SUM(AC7:AC58)</f>
        <v>7396.25</v>
      </c>
      <c r="AD59" s="406"/>
      <c r="AE59" s="667"/>
      <c r="AF59" s="667"/>
      <c r="AG59" s="406">
        <f t="shared" ref="AG59:AL59" si="13">SUM(AG7:AG58)</f>
        <v>0</v>
      </c>
      <c r="AH59" s="406">
        <f t="shared" si="13"/>
        <v>0</v>
      </c>
      <c r="AI59" s="624">
        <f>SUM(AI7:AI58)</f>
        <v>38876.58</v>
      </c>
      <c r="AJ59" s="686">
        <f t="shared" si="13"/>
        <v>0</v>
      </c>
      <c r="AK59" s="686">
        <f t="shared" si="13"/>
        <v>0</v>
      </c>
      <c r="AL59" s="686">
        <f t="shared" si="13"/>
        <v>0</v>
      </c>
    </row>
    <row r="60" spans="1:40" s="625" customFormat="1" ht="28.5" customHeight="1" thickTop="1">
      <c r="A60" s="557"/>
      <c r="B60" s="557"/>
      <c r="C60" s="558"/>
      <c r="D60" s="558"/>
      <c r="E60" s="558"/>
      <c r="F60" s="558"/>
      <c r="G60" s="691"/>
      <c r="H60" s="731"/>
      <c r="I60" s="691"/>
      <c r="J60" s="692"/>
      <c r="K60" s="693"/>
      <c r="L60" s="694"/>
      <c r="M60" s="692"/>
      <c r="N60" s="692"/>
      <c r="O60" s="695"/>
      <c r="P60" s="695"/>
      <c r="Q60" s="695"/>
      <c r="R60" s="695"/>
      <c r="S60" s="695"/>
      <c r="T60" s="695"/>
      <c r="U60" s="696"/>
      <c r="V60" s="697"/>
      <c r="W60" s="696"/>
      <c r="X60" s="696"/>
      <c r="Y60" s="696"/>
      <c r="Z60" s="696"/>
      <c r="AA60" s="692"/>
      <c r="AB60" s="692"/>
      <c r="AC60" s="692"/>
      <c r="AD60" s="696"/>
      <c r="AE60" s="697"/>
      <c r="AF60" s="697"/>
      <c r="AG60" s="696"/>
      <c r="AH60" s="696"/>
      <c r="AI60" s="692"/>
      <c r="AJ60" s="692"/>
      <c r="AK60" s="692"/>
      <c r="AL60" s="692"/>
      <c r="AM60" s="557"/>
      <c r="AN60" s="557"/>
    </row>
    <row r="61" spans="1:40" ht="25.2" customHeight="1">
      <c r="C61" s="698" t="s">
        <v>218</v>
      </c>
      <c r="AD61" s="703"/>
      <c r="AI61" s="633"/>
      <c r="AJ61" s="634"/>
      <c r="AK61" s="634"/>
      <c r="AL61" s="635"/>
    </row>
    <row r="62" spans="1:40" s="704" customFormat="1" ht="37.799999999999997" customHeight="1">
      <c r="C62" s="705" t="s">
        <v>216</v>
      </c>
      <c r="D62" s="706">
        <v>148580</v>
      </c>
      <c r="E62" s="707"/>
      <c r="F62" s="708"/>
      <c r="G62" s="709"/>
      <c r="H62" s="733"/>
      <c r="I62" s="708"/>
      <c r="J62" s="707"/>
      <c r="K62" s="710"/>
      <c r="L62" s="710"/>
      <c r="M62" s="707"/>
      <c r="N62" s="711"/>
      <c r="O62" s="712"/>
      <c r="P62" s="712"/>
      <c r="Q62" s="712"/>
      <c r="R62" s="712"/>
      <c r="S62" s="712"/>
      <c r="T62" s="712"/>
      <c r="U62" s="713"/>
      <c r="V62" s="714"/>
      <c r="W62" s="714"/>
      <c r="X62" s="713"/>
      <c r="Y62" s="713"/>
      <c r="Z62" s="714"/>
      <c r="AA62" s="715"/>
      <c r="AB62" s="715"/>
      <c r="AC62" s="711"/>
      <c r="AD62" s="716"/>
      <c r="AE62" s="717"/>
      <c r="AF62" s="717"/>
      <c r="AG62" s="718"/>
      <c r="AH62" s="719"/>
      <c r="AI62" s="720"/>
      <c r="AJ62" s="715"/>
      <c r="AK62" s="715"/>
      <c r="AL62" s="721"/>
      <c r="AM62" s="722"/>
    </row>
    <row r="63" spans="1:40" ht="17.399999999999999">
      <c r="C63" s="700" t="s">
        <v>217</v>
      </c>
      <c r="D63" s="701">
        <v>5000</v>
      </c>
      <c r="E63" s="637"/>
    </row>
    <row r="64" spans="1:40" ht="17.399999999999999">
      <c r="D64" s="702">
        <f>SUM(D62:D63)</f>
        <v>153580</v>
      </c>
    </row>
  </sheetData>
  <sheetProtection formatCells="0" insertRows="0" insertHyperlinks="0" deleteRows="0" sort="0" autoFilter="0" pivotTables="0"/>
  <mergeCells count="4">
    <mergeCell ref="AD5:AH5"/>
    <mergeCell ref="U5:AC5"/>
    <mergeCell ref="A1:M1"/>
    <mergeCell ref="AO8:AR8"/>
  </mergeCells>
  <phoneticPr fontId="20" type="noConversion"/>
  <dataValidations count="3">
    <dataValidation type="list" allowBlank="1" showInputMessage="1" showErrorMessage="1" sqref="WMS983062 JY2 TU2 ADQ2 ANM2 AXI2 BHE2 BRA2 CAW2 CKS2 CUO2 DEK2 DOG2 DYC2 EHY2 ERU2 FBQ2 FLM2 FVI2 GFE2 GPA2 GYW2 HIS2 HSO2 ICK2 IMG2 IWC2 JFY2 JPU2 JZQ2 KJM2 KTI2 LDE2 LNA2 LWW2 MGS2 MQO2 NAK2 NKG2 NUC2 ODY2 ONU2 OXQ2 PHM2 PRI2 QBE2 QLA2 QUW2 RES2 ROO2 RYK2 SIG2 SSC2 TBY2 TLU2 TVQ2 UFM2 UPI2 UZE2 VJA2 VSW2 WCS2 WMO2 QVA983062 KC65558 TY65558 ADU65558 ANQ65558 AXM65558 BHI65558 BRE65558 CBA65558 CKW65558 CUS65558 DEO65558 DOK65558 DYG65558 EIC65558 ERY65558 FBU65558 FLQ65558 FVM65558 GFI65558 GPE65558 GZA65558 HIW65558 HSS65558 ICO65558 IMK65558 IWG65558 JGC65558 JPY65558 JZU65558 KJQ65558 KTM65558 LDI65558 LNE65558 LXA65558 MGW65558 MQS65558 NAO65558 NKK65558 NUG65558 OEC65558 ONY65558 OXU65558 PHQ65558 PRM65558 QBI65558 QLE65558 QVA65558 REW65558 ROS65558 RYO65558 SIK65558 SSG65558 TCC65558 TLY65558 TVU65558 UFQ65558 UPM65558 UZI65558 VJE65558 VTA65558 WCW65558 WMS65558 REW983062 KC131094 TY131094 ADU131094 ANQ131094 AXM131094 BHI131094 BRE131094 CBA131094 CKW131094 CUS131094 DEO131094 DOK131094 DYG131094 EIC131094 ERY131094 FBU131094 FLQ131094 FVM131094 GFI131094 GPE131094 GZA131094 HIW131094 HSS131094 ICO131094 IMK131094 IWG131094 JGC131094 JPY131094 JZU131094 KJQ131094 KTM131094 LDI131094 LNE131094 LXA131094 MGW131094 MQS131094 NAO131094 NKK131094 NUG131094 OEC131094 ONY131094 OXU131094 PHQ131094 PRM131094 QBI131094 QLE131094 QVA131094 REW131094 ROS131094 RYO131094 SIK131094 SSG131094 TCC131094 TLY131094 TVU131094 UFQ131094 UPM131094 UZI131094 VJE131094 VTA131094 WCW131094 WMS131094 ROS983062 KC196630 TY196630 ADU196630 ANQ196630 AXM196630 BHI196630 BRE196630 CBA196630 CKW196630 CUS196630 DEO196630 DOK196630 DYG196630 EIC196630 ERY196630 FBU196630 FLQ196630 FVM196630 GFI196630 GPE196630 GZA196630 HIW196630 HSS196630 ICO196630 IMK196630 IWG196630 JGC196630 JPY196630 JZU196630 KJQ196630 KTM196630 LDI196630 LNE196630 LXA196630 MGW196630 MQS196630 NAO196630 NKK196630 NUG196630 OEC196630 ONY196630 OXU196630 PHQ196630 PRM196630 QBI196630 QLE196630 QVA196630 REW196630 ROS196630 RYO196630 SIK196630 SSG196630 TCC196630 TLY196630 TVU196630 UFQ196630 UPM196630 UZI196630 VJE196630 VTA196630 WCW196630 WMS196630 RYO983062 KC262166 TY262166 ADU262166 ANQ262166 AXM262166 BHI262166 BRE262166 CBA262166 CKW262166 CUS262166 DEO262166 DOK262166 DYG262166 EIC262166 ERY262166 FBU262166 FLQ262166 FVM262166 GFI262166 GPE262166 GZA262166 HIW262166 HSS262166 ICO262166 IMK262166 IWG262166 JGC262166 JPY262166 JZU262166 KJQ262166 KTM262166 LDI262166 LNE262166 LXA262166 MGW262166 MQS262166 NAO262166 NKK262166 NUG262166 OEC262166 ONY262166 OXU262166 PHQ262166 PRM262166 QBI262166 QLE262166 QVA262166 REW262166 ROS262166 RYO262166 SIK262166 SSG262166 TCC262166 TLY262166 TVU262166 UFQ262166 UPM262166 UZI262166 VJE262166 VTA262166 WCW262166 WMS262166 SIK983062 KC327702 TY327702 ADU327702 ANQ327702 AXM327702 BHI327702 BRE327702 CBA327702 CKW327702 CUS327702 DEO327702 DOK327702 DYG327702 EIC327702 ERY327702 FBU327702 FLQ327702 FVM327702 GFI327702 GPE327702 GZA327702 HIW327702 HSS327702 ICO327702 IMK327702 IWG327702 JGC327702 JPY327702 JZU327702 KJQ327702 KTM327702 LDI327702 LNE327702 LXA327702 MGW327702 MQS327702 NAO327702 NKK327702 NUG327702 OEC327702 ONY327702 OXU327702 PHQ327702 PRM327702 QBI327702 QLE327702 QVA327702 REW327702 ROS327702 RYO327702 SIK327702 SSG327702 TCC327702 TLY327702 TVU327702 UFQ327702 UPM327702 UZI327702 VJE327702 VTA327702 WCW327702 WMS327702 SSG983062 KC393238 TY393238 ADU393238 ANQ393238 AXM393238 BHI393238 BRE393238 CBA393238 CKW393238 CUS393238 DEO393238 DOK393238 DYG393238 EIC393238 ERY393238 FBU393238 FLQ393238 FVM393238 GFI393238 GPE393238 GZA393238 HIW393238 HSS393238 ICO393238 IMK393238 IWG393238 JGC393238 JPY393238 JZU393238 KJQ393238 KTM393238 LDI393238 LNE393238 LXA393238 MGW393238 MQS393238 NAO393238 NKK393238 NUG393238 OEC393238 ONY393238 OXU393238 PHQ393238 PRM393238 QBI393238 QLE393238 QVA393238 REW393238 ROS393238 RYO393238 SIK393238 SSG393238 TCC393238 TLY393238 TVU393238 UFQ393238 UPM393238 UZI393238 VJE393238 VTA393238 WCW393238 WMS393238 TCC983062 KC458774 TY458774 ADU458774 ANQ458774 AXM458774 BHI458774 BRE458774 CBA458774 CKW458774 CUS458774 DEO458774 DOK458774 DYG458774 EIC458774 ERY458774 FBU458774 FLQ458774 FVM458774 GFI458774 GPE458774 GZA458774 HIW458774 HSS458774 ICO458774 IMK458774 IWG458774 JGC458774 JPY458774 JZU458774 KJQ458774 KTM458774 LDI458774 LNE458774 LXA458774 MGW458774 MQS458774 NAO458774 NKK458774 NUG458774 OEC458774 ONY458774 OXU458774 PHQ458774 PRM458774 QBI458774 QLE458774 QVA458774 REW458774 ROS458774 RYO458774 SIK458774 SSG458774 TCC458774 TLY458774 TVU458774 UFQ458774 UPM458774 UZI458774 VJE458774 VTA458774 WCW458774 WMS458774 TLY983062 KC524310 TY524310 ADU524310 ANQ524310 AXM524310 BHI524310 BRE524310 CBA524310 CKW524310 CUS524310 DEO524310 DOK524310 DYG524310 EIC524310 ERY524310 FBU524310 FLQ524310 FVM524310 GFI524310 GPE524310 GZA524310 HIW524310 HSS524310 ICO524310 IMK524310 IWG524310 JGC524310 JPY524310 JZU524310 KJQ524310 KTM524310 LDI524310 LNE524310 LXA524310 MGW524310 MQS524310 NAO524310 NKK524310 NUG524310 OEC524310 ONY524310 OXU524310 PHQ524310 PRM524310 QBI524310 QLE524310 QVA524310 REW524310 ROS524310 RYO524310 SIK524310 SSG524310 TCC524310 TLY524310 TVU524310 UFQ524310 UPM524310 UZI524310 VJE524310 VTA524310 WCW524310 WMS524310 TVU983062 KC589846 TY589846 ADU589846 ANQ589846 AXM589846 BHI589846 BRE589846 CBA589846 CKW589846 CUS589846 DEO589846 DOK589846 DYG589846 EIC589846 ERY589846 FBU589846 FLQ589846 FVM589846 GFI589846 GPE589846 GZA589846 HIW589846 HSS589846 ICO589846 IMK589846 IWG589846 JGC589846 JPY589846 JZU589846 KJQ589846 KTM589846 LDI589846 LNE589846 LXA589846 MGW589846 MQS589846 NAO589846 NKK589846 NUG589846 OEC589846 ONY589846 OXU589846 PHQ589846 PRM589846 QBI589846 QLE589846 QVA589846 REW589846 ROS589846 RYO589846 SIK589846 SSG589846 TCC589846 TLY589846 TVU589846 UFQ589846 UPM589846 UZI589846 VJE589846 VTA589846 WCW589846 WMS589846 UFQ983062 KC655382 TY655382 ADU655382 ANQ655382 AXM655382 BHI655382 BRE655382 CBA655382 CKW655382 CUS655382 DEO655382 DOK655382 DYG655382 EIC655382 ERY655382 FBU655382 FLQ655382 FVM655382 GFI655382 GPE655382 GZA655382 HIW655382 HSS655382 ICO655382 IMK655382 IWG655382 JGC655382 JPY655382 JZU655382 KJQ655382 KTM655382 LDI655382 LNE655382 LXA655382 MGW655382 MQS655382 NAO655382 NKK655382 NUG655382 OEC655382 ONY655382 OXU655382 PHQ655382 PRM655382 QBI655382 QLE655382 QVA655382 REW655382 ROS655382 RYO655382 SIK655382 SSG655382 TCC655382 TLY655382 TVU655382 UFQ655382 UPM655382 UZI655382 VJE655382 VTA655382 WCW655382 WMS655382 UPM983062 KC720918 TY720918 ADU720918 ANQ720918 AXM720918 BHI720918 BRE720918 CBA720918 CKW720918 CUS720918 DEO720918 DOK720918 DYG720918 EIC720918 ERY720918 FBU720918 FLQ720918 FVM720918 GFI720918 GPE720918 GZA720918 HIW720918 HSS720918 ICO720918 IMK720918 IWG720918 JGC720918 JPY720918 JZU720918 KJQ720918 KTM720918 LDI720918 LNE720918 LXA720918 MGW720918 MQS720918 NAO720918 NKK720918 NUG720918 OEC720918 ONY720918 OXU720918 PHQ720918 PRM720918 QBI720918 QLE720918 QVA720918 REW720918 ROS720918 RYO720918 SIK720918 SSG720918 TCC720918 TLY720918 TVU720918 UFQ720918 UPM720918 UZI720918 VJE720918 VTA720918 WCW720918 WMS720918 UZI983062 KC786454 TY786454 ADU786454 ANQ786454 AXM786454 BHI786454 BRE786454 CBA786454 CKW786454 CUS786454 DEO786454 DOK786454 DYG786454 EIC786454 ERY786454 FBU786454 FLQ786454 FVM786454 GFI786454 GPE786454 GZA786454 HIW786454 HSS786454 ICO786454 IMK786454 IWG786454 JGC786454 JPY786454 JZU786454 KJQ786454 KTM786454 LDI786454 LNE786454 LXA786454 MGW786454 MQS786454 NAO786454 NKK786454 NUG786454 OEC786454 ONY786454 OXU786454 PHQ786454 PRM786454 QBI786454 QLE786454 QVA786454 REW786454 ROS786454 RYO786454 SIK786454 SSG786454 TCC786454 TLY786454 TVU786454 UFQ786454 UPM786454 UZI786454 VJE786454 VTA786454 WCW786454 WMS786454 VJE983062 KC851990 TY851990 ADU851990 ANQ851990 AXM851990 BHI851990 BRE851990 CBA851990 CKW851990 CUS851990 DEO851990 DOK851990 DYG851990 EIC851990 ERY851990 FBU851990 FLQ851990 FVM851990 GFI851990 GPE851990 GZA851990 HIW851990 HSS851990 ICO851990 IMK851990 IWG851990 JGC851990 JPY851990 JZU851990 KJQ851990 KTM851990 LDI851990 LNE851990 LXA851990 MGW851990 MQS851990 NAO851990 NKK851990 NUG851990 OEC851990 ONY851990 OXU851990 PHQ851990 PRM851990 QBI851990 QLE851990 QVA851990 REW851990 ROS851990 RYO851990 SIK851990 SSG851990 TCC851990 TLY851990 TVU851990 UFQ851990 UPM851990 UZI851990 VJE851990 VTA851990 WCW851990 WMS851990 VTA983062 KC917526 TY917526 ADU917526 ANQ917526 AXM917526 BHI917526 BRE917526 CBA917526 CKW917526 CUS917526 DEO917526 DOK917526 DYG917526 EIC917526 ERY917526 FBU917526 FLQ917526 FVM917526 GFI917526 GPE917526 GZA917526 HIW917526 HSS917526 ICO917526 IMK917526 IWG917526 JGC917526 JPY917526 JZU917526 KJQ917526 KTM917526 LDI917526 LNE917526 LXA917526 MGW917526 MQS917526 NAO917526 NKK917526 NUG917526 OEC917526 ONY917526 OXU917526 PHQ917526 PRM917526 QBI917526 QLE917526 QVA917526 REW917526 ROS917526 RYO917526 SIK917526 SSG917526 TCC917526 TLY917526 TVU917526 UFQ917526 UPM917526 UZI917526 VJE917526 VTA917526 WCW917526 WMS917526 WCW983062 KC983062 TY983062 ADU983062 ANQ983062 AXM983062 BHI983062 BRE983062 CBA983062 CKW983062 CUS983062 DEO983062 DOK983062 DYG983062 EIC983062 ERY983062 FBU983062 FLQ983062 FVM983062 GFI983062 GPE983062 GZA983062 HIW983062 HSS983062 ICO983062 IMK983062 IWG983062 JGC983062 JPY983062 JZU983062 KJQ983062 KTM983062 LDI983062 LNE983062 LXA983062 MGW983062 MQS983062 NAO983062 NKK983062 NUG983062 OEC983062 ONY983062 OXU983062 PHQ983062 PRM983062 QBI983062 QLE983062 A65558:B65558 A131094:B131094 A196630:B196630 A262166:B262166 A327702:B327702 A393238:B393238 A458774:B458774 A524310:B524310 A589846:B589846 A655382:B655382 A720918:B720918 A786454:B786454 A851990:B851990 A917526:B917526 A983062:B983062" xr:uid="{03142BC0-4A64-4949-8FC3-7924DF007D13}">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 type="list" allowBlank="1" showInputMessage="1" showErrorMessage="1" sqref="WNK983066:WNK983095 AY65562:AY65591 KU65562:KU65591 UQ65562:UQ65591 AEM65562:AEM65591 AOI65562:AOI65591 AYE65562:AYE65591 BIA65562:BIA65591 BRW65562:BRW65591 CBS65562:CBS65591 CLO65562:CLO65591 CVK65562:CVK65591 DFG65562:DFG65591 DPC65562:DPC65591 DYY65562:DYY65591 EIU65562:EIU65591 ESQ65562:ESQ65591 FCM65562:FCM65591 FMI65562:FMI65591 FWE65562:FWE65591 GGA65562:GGA65591 GPW65562:GPW65591 GZS65562:GZS65591 HJO65562:HJO65591 HTK65562:HTK65591 IDG65562:IDG65591 INC65562:INC65591 IWY65562:IWY65591 JGU65562:JGU65591 JQQ65562:JQQ65591 KAM65562:KAM65591 KKI65562:KKI65591 KUE65562:KUE65591 LEA65562:LEA65591 LNW65562:LNW65591 LXS65562:LXS65591 MHO65562:MHO65591 MRK65562:MRK65591 NBG65562:NBG65591 NLC65562:NLC65591 NUY65562:NUY65591 OEU65562:OEU65591 OOQ65562:OOQ65591 OYM65562:OYM65591 PII65562:PII65591 PSE65562:PSE65591 QCA65562:QCA65591 QLW65562:QLW65591 QVS65562:QVS65591 RFO65562:RFO65591 RPK65562:RPK65591 RZG65562:RZG65591 SJC65562:SJC65591 SSY65562:SSY65591 TCU65562:TCU65591 TMQ65562:TMQ65591 TWM65562:TWM65591 UGI65562:UGI65591 UQE65562:UQE65591 VAA65562:VAA65591 VJW65562:VJW65591 VTS65562:VTS65591 WDO65562:WDO65591 WNK65562:WNK65591 AY131098:AY131127 KU131098:KU131127 UQ131098:UQ131127 AEM131098:AEM131127 AOI131098:AOI131127 AYE131098:AYE131127 BIA131098:BIA131127 BRW131098:BRW131127 CBS131098:CBS131127 CLO131098:CLO131127 CVK131098:CVK131127 DFG131098:DFG131127 DPC131098:DPC131127 DYY131098:DYY131127 EIU131098:EIU131127 ESQ131098:ESQ131127 FCM131098:FCM131127 FMI131098:FMI131127 FWE131098:FWE131127 GGA131098:GGA131127 GPW131098:GPW131127 GZS131098:GZS131127 HJO131098:HJO131127 HTK131098:HTK131127 IDG131098:IDG131127 INC131098:INC131127 IWY131098:IWY131127 JGU131098:JGU131127 JQQ131098:JQQ131127 KAM131098:KAM131127 KKI131098:KKI131127 KUE131098:KUE131127 LEA131098:LEA131127 LNW131098:LNW131127 LXS131098:LXS131127 MHO131098:MHO131127 MRK131098:MRK131127 NBG131098:NBG131127 NLC131098:NLC131127 NUY131098:NUY131127 OEU131098:OEU131127 OOQ131098:OOQ131127 OYM131098:OYM131127 PII131098:PII131127 PSE131098:PSE131127 QCA131098:QCA131127 QLW131098:QLW131127 QVS131098:QVS131127 RFO131098:RFO131127 RPK131098:RPK131127 RZG131098:RZG131127 SJC131098:SJC131127 SSY131098:SSY131127 TCU131098:TCU131127 TMQ131098:TMQ131127 TWM131098:TWM131127 UGI131098:UGI131127 UQE131098:UQE131127 VAA131098:VAA131127 VJW131098:VJW131127 VTS131098:VTS131127 WDO131098:WDO131127 WNK131098:WNK131127 AY196634:AY196663 KU196634:KU196663 UQ196634:UQ196663 AEM196634:AEM196663 AOI196634:AOI196663 AYE196634:AYE196663 BIA196634:BIA196663 BRW196634:BRW196663 CBS196634:CBS196663 CLO196634:CLO196663 CVK196634:CVK196663 DFG196634:DFG196663 DPC196634:DPC196663 DYY196634:DYY196663 EIU196634:EIU196663 ESQ196634:ESQ196663 FCM196634:FCM196663 FMI196634:FMI196663 FWE196634:FWE196663 GGA196634:GGA196663 GPW196634:GPW196663 GZS196634:GZS196663 HJO196634:HJO196663 HTK196634:HTK196663 IDG196634:IDG196663 INC196634:INC196663 IWY196634:IWY196663 JGU196634:JGU196663 JQQ196634:JQQ196663 KAM196634:KAM196663 KKI196634:KKI196663 KUE196634:KUE196663 LEA196634:LEA196663 LNW196634:LNW196663 LXS196634:LXS196663 MHO196634:MHO196663 MRK196634:MRK196663 NBG196634:NBG196663 NLC196634:NLC196663 NUY196634:NUY196663 OEU196634:OEU196663 OOQ196634:OOQ196663 OYM196634:OYM196663 PII196634:PII196663 PSE196634:PSE196663 QCA196634:QCA196663 QLW196634:QLW196663 QVS196634:QVS196663 RFO196634:RFO196663 RPK196634:RPK196663 RZG196634:RZG196663 SJC196634:SJC196663 SSY196634:SSY196663 TCU196634:TCU196663 TMQ196634:TMQ196663 TWM196634:TWM196663 UGI196634:UGI196663 UQE196634:UQE196663 VAA196634:VAA196663 VJW196634:VJW196663 VTS196634:VTS196663 WDO196634:WDO196663 WNK196634:WNK196663 AY262170:AY262199 KU262170:KU262199 UQ262170:UQ262199 AEM262170:AEM262199 AOI262170:AOI262199 AYE262170:AYE262199 BIA262170:BIA262199 BRW262170:BRW262199 CBS262170:CBS262199 CLO262170:CLO262199 CVK262170:CVK262199 DFG262170:DFG262199 DPC262170:DPC262199 DYY262170:DYY262199 EIU262170:EIU262199 ESQ262170:ESQ262199 FCM262170:FCM262199 FMI262170:FMI262199 FWE262170:FWE262199 GGA262170:GGA262199 GPW262170:GPW262199 GZS262170:GZS262199 HJO262170:HJO262199 HTK262170:HTK262199 IDG262170:IDG262199 INC262170:INC262199 IWY262170:IWY262199 JGU262170:JGU262199 JQQ262170:JQQ262199 KAM262170:KAM262199 KKI262170:KKI262199 KUE262170:KUE262199 LEA262170:LEA262199 LNW262170:LNW262199 LXS262170:LXS262199 MHO262170:MHO262199 MRK262170:MRK262199 NBG262170:NBG262199 NLC262170:NLC262199 NUY262170:NUY262199 OEU262170:OEU262199 OOQ262170:OOQ262199 OYM262170:OYM262199 PII262170:PII262199 PSE262170:PSE262199 QCA262170:QCA262199 QLW262170:QLW262199 QVS262170:QVS262199 RFO262170:RFO262199 RPK262170:RPK262199 RZG262170:RZG262199 SJC262170:SJC262199 SSY262170:SSY262199 TCU262170:TCU262199 TMQ262170:TMQ262199 TWM262170:TWM262199 UGI262170:UGI262199 UQE262170:UQE262199 VAA262170:VAA262199 VJW262170:VJW262199 VTS262170:VTS262199 WDO262170:WDO262199 WNK262170:WNK262199 AY327706:AY327735 KU327706:KU327735 UQ327706:UQ327735 AEM327706:AEM327735 AOI327706:AOI327735 AYE327706:AYE327735 BIA327706:BIA327735 BRW327706:BRW327735 CBS327706:CBS327735 CLO327706:CLO327735 CVK327706:CVK327735 DFG327706:DFG327735 DPC327706:DPC327735 DYY327706:DYY327735 EIU327706:EIU327735 ESQ327706:ESQ327735 FCM327706:FCM327735 FMI327706:FMI327735 FWE327706:FWE327735 GGA327706:GGA327735 GPW327706:GPW327735 GZS327706:GZS327735 HJO327706:HJO327735 HTK327706:HTK327735 IDG327706:IDG327735 INC327706:INC327735 IWY327706:IWY327735 JGU327706:JGU327735 JQQ327706:JQQ327735 KAM327706:KAM327735 KKI327706:KKI327735 KUE327706:KUE327735 LEA327706:LEA327735 LNW327706:LNW327735 LXS327706:LXS327735 MHO327706:MHO327735 MRK327706:MRK327735 NBG327706:NBG327735 NLC327706:NLC327735 NUY327706:NUY327735 OEU327706:OEU327735 OOQ327706:OOQ327735 OYM327706:OYM327735 PII327706:PII327735 PSE327706:PSE327735 QCA327706:QCA327735 QLW327706:QLW327735 QVS327706:QVS327735 RFO327706:RFO327735 RPK327706:RPK327735 RZG327706:RZG327735 SJC327706:SJC327735 SSY327706:SSY327735 TCU327706:TCU327735 TMQ327706:TMQ327735 TWM327706:TWM327735 UGI327706:UGI327735 UQE327706:UQE327735 VAA327706:VAA327735 VJW327706:VJW327735 VTS327706:VTS327735 WDO327706:WDO327735 WNK327706:WNK327735 AY393242:AY393271 KU393242:KU393271 UQ393242:UQ393271 AEM393242:AEM393271 AOI393242:AOI393271 AYE393242:AYE393271 BIA393242:BIA393271 BRW393242:BRW393271 CBS393242:CBS393271 CLO393242:CLO393271 CVK393242:CVK393271 DFG393242:DFG393271 DPC393242:DPC393271 DYY393242:DYY393271 EIU393242:EIU393271 ESQ393242:ESQ393271 FCM393242:FCM393271 FMI393242:FMI393271 FWE393242:FWE393271 GGA393242:GGA393271 GPW393242:GPW393271 GZS393242:GZS393271 HJO393242:HJO393271 HTK393242:HTK393271 IDG393242:IDG393271 INC393242:INC393271 IWY393242:IWY393271 JGU393242:JGU393271 JQQ393242:JQQ393271 KAM393242:KAM393271 KKI393242:KKI393271 KUE393242:KUE393271 LEA393242:LEA393271 LNW393242:LNW393271 LXS393242:LXS393271 MHO393242:MHO393271 MRK393242:MRK393271 NBG393242:NBG393271 NLC393242:NLC393271 NUY393242:NUY393271 OEU393242:OEU393271 OOQ393242:OOQ393271 OYM393242:OYM393271 PII393242:PII393271 PSE393242:PSE393271 QCA393242:QCA393271 QLW393242:QLW393271 QVS393242:QVS393271 RFO393242:RFO393271 RPK393242:RPK393271 RZG393242:RZG393271 SJC393242:SJC393271 SSY393242:SSY393271 TCU393242:TCU393271 TMQ393242:TMQ393271 TWM393242:TWM393271 UGI393242:UGI393271 UQE393242:UQE393271 VAA393242:VAA393271 VJW393242:VJW393271 VTS393242:VTS393271 WDO393242:WDO393271 WNK393242:WNK393271 AY458778:AY458807 KU458778:KU458807 UQ458778:UQ458807 AEM458778:AEM458807 AOI458778:AOI458807 AYE458778:AYE458807 BIA458778:BIA458807 BRW458778:BRW458807 CBS458778:CBS458807 CLO458778:CLO458807 CVK458778:CVK458807 DFG458778:DFG458807 DPC458778:DPC458807 DYY458778:DYY458807 EIU458778:EIU458807 ESQ458778:ESQ458807 FCM458778:FCM458807 FMI458778:FMI458807 FWE458778:FWE458807 GGA458778:GGA458807 GPW458778:GPW458807 GZS458778:GZS458807 HJO458778:HJO458807 HTK458778:HTK458807 IDG458778:IDG458807 INC458778:INC458807 IWY458778:IWY458807 JGU458778:JGU458807 JQQ458778:JQQ458807 KAM458778:KAM458807 KKI458778:KKI458807 KUE458778:KUE458807 LEA458778:LEA458807 LNW458778:LNW458807 LXS458778:LXS458807 MHO458778:MHO458807 MRK458778:MRK458807 NBG458778:NBG458807 NLC458778:NLC458807 NUY458778:NUY458807 OEU458778:OEU458807 OOQ458778:OOQ458807 OYM458778:OYM458807 PII458778:PII458807 PSE458778:PSE458807 QCA458778:QCA458807 QLW458778:QLW458807 QVS458778:QVS458807 RFO458778:RFO458807 RPK458778:RPK458807 RZG458778:RZG458807 SJC458778:SJC458807 SSY458778:SSY458807 TCU458778:TCU458807 TMQ458778:TMQ458807 TWM458778:TWM458807 UGI458778:UGI458807 UQE458778:UQE458807 VAA458778:VAA458807 VJW458778:VJW458807 VTS458778:VTS458807 WDO458778:WDO458807 WNK458778:WNK458807 AY524314:AY524343 KU524314:KU524343 UQ524314:UQ524343 AEM524314:AEM524343 AOI524314:AOI524343 AYE524314:AYE524343 BIA524314:BIA524343 BRW524314:BRW524343 CBS524314:CBS524343 CLO524314:CLO524343 CVK524314:CVK524343 DFG524314:DFG524343 DPC524314:DPC524343 DYY524314:DYY524343 EIU524314:EIU524343 ESQ524314:ESQ524343 FCM524314:FCM524343 FMI524314:FMI524343 FWE524314:FWE524343 GGA524314:GGA524343 GPW524314:GPW524343 GZS524314:GZS524343 HJO524314:HJO524343 HTK524314:HTK524343 IDG524314:IDG524343 INC524314:INC524343 IWY524314:IWY524343 JGU524314:JGU524343 JQQ524314:JQQ524343 KAM524314:KAM524343 KKI524314:KKI524343 KUE524314:KUE524343 LEA524314:LEA524343 LNW524314:LNW524343 LXS524314:LXS524343 MHO524314:MHO524343 MRK524314:MRK524343 NBG524314:NBG524343 NLC524314:NLC524343 NUY524314:NUY524343 OEU524314:OEU524343 OOQ524314:OOQ524343 OYM524314:OYM524343 PII524314:PII524343 PSE524314:PSE524343 QCA524314:QCA524343 QLW524314:QLW524343 QVS524314:QVS524343 RFO524314:RFO524343 RPK524314:RPK524343 RZG524314:RZG524343 SJC524314:SJC524343 SSY524314:SSY524343 TCU524314:TCU524343 TMQ524314:TMQ524343 TWM524314:TWM524343 UGI524314:UGI524343 UQE524314:UQE524343 VAA524314:VAA524343 VJW524314:VJW524343 VTS524314:VTS524343 WDO524314:WDO524343 WNK524314:WNK524343 AY589850:AY589879 KU589850:KU589879 UQ589850:UQ589879 AEM589850:AEM589879 AOI589850:AOI589879 AYE589850:AYE589879 BIA589850:BIA589879 BRW589850:BRW589879 CBS589850:CBS589879 CLO589850:CLO589879 CVK589850:CVK589879 DFG589850:DFG589879 DPC589850:DPC589879 DYY589850:DYY589879 EIU589850:EIU589879 ESQ589850:ESQ589879 FCM589850:FCM589879 FMI589850:FMI589879 FWE589850:FWE589879 GGA589850:GGA589879 GPW589850:GPW589879 GZS589850:GZS589879 HJO589850:HJO589879 HTK589850:HTK589879 IDG589850:IDG589879 INC589850:INC589879 IWY589850:IWY589879 JGU589850:JGU589879 JQQ589850:JQQ589879 KAM589850:KAM589879 KKI589850:KKI589879 KUE589850:KUE589879 LEA589850:LEA589879 LNW589850:LNW589879 LXS589850:LXS589879 MHO589850:MHO589879 MRK589850:MRK589879 NBG589850:NBG589879 NLC589850:NLC589879 NUY589850:NUY589879 OEU589850:OEU589879 OOQ589850:OOQ589879 OYM589850:OYM589879 PII589850:PII589879 PSE589850:PSE589879 QCA589850:QCA589879 QLW589850:QLW589879 QVS589850:QVS589879 RFO589850:RFO589879 RPK589850:RPK589879 RZG589850:RZG589879 SJC589850:SJC589879 SSY589850:SSY589879 TCU589850:TCU589879 TMQ589850:TMQ589879 TWM589850:TWM589879 UGI589850:UGI589879 UQE589850:UQE589879 VAA589850:VAA589879 VJW589850:VJW589879 VTS589850:VTS589879 WDO589850:WDO589879 WNK589850:WNK589879 AY655386:AY655415 KU655386:KU655415 UQ655386:UQ655415 AEM655386:AEM655415 AOI655386:AOI655415 AYE655386:AYE655415 BIA655386:BIA655415 BRW655386:BRW655415 CBS655386:CBS655415 CLO655386:CLO655415 CVK655386:CVK655415 DFG655386:DFG655415 DPC655386:DPC655415 DYY655386:DYY655415 EIU655386:EIU655415 ESQ655386:ESQ655415 FCM655386:FCM655415 FMI655386:FMI655415 FWE655386:FWE655415 GGA655386:GGA655415 GPW655386:GPW655415 GZS655386:GZS655415 HJO655386:HJO655415 HTK655386:HTK655415 IDG655386:IDG655415 INC655386:INC655415 IWY655386:IWY655415 JGU655386:JGU655415 JQQ655386:JQQ655415 KAM655386:KAM655415 KKI655386:KKI655415 KUE655386:KUE655415 LEA655386:LEA655415 LNW655386:LNW655415 LXS655386:LXS655415 MHO655386:MHO655415 MRK655386:MRK655415 NBG655386:NBG655415 NLC655386:NLC655415 NUY655386:NUY655415 OEU655386:OEU655415 OOQ655386:OOQ655415 OYM655386:OYM655415 PII655386:PII655415 PSE655386:PSE655415 QCA655386:QCA655415 QLW655386:QLW655415 QVS655386:QVS655415 RFO655386:RFO655415 RPK655386:RPK655415 RZG655386:RZG655415 SJC655386:SJC655415 SSY655386:SSY655415 TCU655386:TCU655415 TMQ655386:TMQ655415 TWM655386:TWM655415 UGI655386:UGI655415 UQE655386:UQE655415 VAA655386:VAA655415 VJW655386:VJW655415 VTS655386:VTS655415 WDO655386:WDO655415 WNK655386:WNK655415 AY720922:AY720951 KU720922:KU720951 UQ720922:UQ720951 AEM720922:AEM720951 AOI720922:AOI720951 AYE720922:AYE720951 BIA720922:BIA720951 BRW720922:BRW720951 CBS720922:CBS720951 CLO720922:CLO720951 CVK720922:CVK720951 DFG720922:DFG720951 DPC720922:DPC720951 DYY720922:DYY720951 EIU720922:EIU720951 ESQ720922:ESQ720951 FCM720922:FCM720951 FMI720922:FMI720951 FWE720922:FWE720951 GGA720922:GGA720951 GPW720922:GPW720951 GZS720922:GZS720951 HJO720922:HJO720951 HTK720922:HTK720951 IDG720922:IDG720951 INC720922:INC720951 IWY720922:IWY720951 JGU720922:JGU720951 JQQ720922:JQQ720951 KAM720922:KAM720951 KKI720922:KKI720951 KUE720922:KUE720951 LEA720922:LEA720951 LNW720922:LNW720951 LXS720922:LXS720951 MHO720922:MHO720951 MRK720922:MRK720951 NBG720922:NBG720951 NLC720922:NLC720951 NUY720922:NUY720951 OEU720922:OEU720951 OOQ720922:OOQ720951 OYM720922:OYM720951 PII720922:PII720951 PSE720922:PSE720951 QCA720922:QCA720951 QLW720922:QLW720951 QVS720922:QVS720951 RFO720922:RFO720951 RPK720922:RPK720951 RZG720922:RZG720951 SJC720922:SJC720951 SSY720922:SSY720951 TCU720922:TCU720951 TMQ720922:TMQ720951 TWM720922:TWM720951 UGI720922:UGI720951 UQE720922:UQE720951 VAA720922:VAA720951 VJW720922:VJW720951 VTS720922:VTS720951 WDO720922:WDO720951 WNK720922:WNK720951 AY786458:AY786487 KU786458:KU786487 UQ786458:UQ786487 AEM786458:AEM786487 AOI786458:AOI786487 AYE786458:AYE786487 BIA786458:BIA786487 BRW786458:BRW786487 CBS786458:CBS786487 CLO786458:CLO786487 CVK786458:CVK786487 DFG786458:DFG786487 DPC786458:DPC786487 DYY786458:DYY786487 EIU786458:EIU786487 ESQ786458:ESQ786487 FCM786458:FCM786487 FMI786458:FMI786487 FWE786458:FWE786487 GGA786458:GGA786487 GPW786458:GPW786487 GZS786458:GZS786487 HJO786458:HJO786487 HTK786458:HTK786487 IDG786458:IDG786487 INC786458:INC786487 IWY786458:IWY786487 JGU786458:JGU786487 JQQ786458:JQQ786487 KAM786458:KAM786487 KKI786458:KKI786487 KUE786458:KUE786487 LEA786458:LEA786487 LNW786458:LNW786487 LXS786458:LXS786487 MHO786458:MHO786487 MRK786458:MRK786487 NBG786458:NBG786487 NLC786458:NLC786487 NUY786458:NUY786487 OEU786458:OEU786487 OOQ786458:OOQ786487 OYM786458:OYM786487 PII786458:PII786487 PSE786458:PSE786487 QCA786458:QCA786487 QLW786458:QLW786487 QVS786458:QVS786487 RFO786458:RFO786487 RPK786458:RPK786487 RZG786458:RZG786487 SJC786458:SJC786487 SSY786458:SSY786487 TCU786458:TCU786487 TMQ786458:TMQ786487 TWM786458:TWM786487 UGI786458:UGI786487 UQE786458:UQE786487 VAA786458:VAA786487 VJW786458:VJW786487 VTS786458:VTS786487 WDO786458:WDO786487 WNK786458:WNK786487 AY851994:AY852023 KU851994:KU852023 UQ851994:UQ852023 AEM851994:AEM852023 AOI851994:AOI852023 AYE851994:AYE852023 BIA851994:BIA852023 BRW851994:BRW852023 CBS851994:CBS852023 CLO851994:CLO852023 CVK851994:CVK852023 DFG851994:DFG852023 DPC851994:DPC852023 DYY851994:DYY852023 EIU851994:EIU852023 ESQ851994:ESQ852023 FCM851994:FCM852023 FMI851994:FMI852023 FWE851994:FWE852023 GGA851994:GGA852023 GPW851994:GPW852023 GZS851994:GZS852023 HJO851994:HJO852023 HTK851994:HTK852023 IDG851994:IDG852023 INC851994:INC852023 IWY851994:IWY852023 JGU851994:JGU852023 JQQ851994:JQQ852023 KAM851994:KAM852023 KKI851994:KKI852023 KUE851994:KUE852023 LEA851994:LEA852023 LNW851994:LNW852023 LXS851994:LXS852023 MHO851994:MHO852023 MRK851994:MRK852023 NBG851994:NBG852023 NLC851994:NLC852023 NUY851994:NUY852023 OEU851994:OEU852023 OOQ851994:OOQ852023 OYM851994:OYM852023 PII851994:PII852023 PSE851994:PSE852023 QCA851994:QCA852023 QLW851994:QLW852023 QVS851994:QVS852023 RFO851994:RFO852023 RPK851994:RPK852023 RZG851994:RZG852023 SJC851994:SJC852023 SSY851994:SSY852023 TCU851994:TCU852023 TMQ851994:TMQ852023 TWM851994:TWM852023 UGI851994:UGI852023 UQE851994:UQE852023 VAA851994:VAA852023 VJW851994:VJW852023 VTS851994:VTS852023 WDO851994:WDO852023 WNK851994:WNK852023 AY917530:AY917559 KU917530:KU917559 UQ917530:UQ917559 AEM917530:AEM917559 AOI917530:AOI917559 AYE917530:AYE917559 BIA917530:BIA917559 BRW917530:BRW917559 CBS917530:CBS917559 CLO917530:CLO917559 CVK917530:CVK917559 DFG917530:DFG917559 DPC917530:DPC917559 DYY917530:DYY917559 EIU917530:EIU917559 ESQ917530:ESQ917559 FCM917530:FCM917559 FMI917530:FMI917559 FWE917530:FWE917559 GGA917530:GGA917559 GPW917530:GPW917559 GZS917530:GZS917559 HJO917530:HJO917559 HTK917530:HTK917559 IDG917530:IDG917559 INC917530:INC917559 IWY917530:IWY917559 JGU917530:JGU917559 JQQ917530:JQQ917559 KAM917530:KAM917559 KKI917530:KKI917559 KUE917530:KUE917559 LEA917530:LEA917559 LNW917530:LNW917559 LXS917530:LXS917559 MHO917530:MHO917559 MRK917530:MRK917559 NBG917530:NBG917559 NLC917530:NLC917559 NUY917530:NUY917559 OEU917530:OEU917559 OOQ917530:OOQ917559 OYM917530:OYM917559 PII917530:PII917559 PSE917530:PSE917559 QCA917530:QCA917559 QLW917530:QLW917559 QVS917530:QVS917559 RFO917530:RFO917559 RPK917530:RPK917559 RZG917530:RZG917559 SJC917530:SJC917559 SSY917530:SSY917559 TCU917530:TCU917559 TMQ917530:TMQ917559 TWM917530:TWM917559 UGI917530:UGI917559 UQE917530:UQE917559 VAA917530:VAA917559 VJW917530:VJW917559 VTS917530:VTS917559 WDO917530:WDO917559 WNK917530:WNK917559 AY983066:AY983095 KU983066:KU983095 UQ983066:UQ983095 AEM983066:AEM983095 AOI983066:AOI983095 AYE983066:AYE983095 BIA983066:BIA983095 BRW983066:BRW983095 CBS983066:CBS983095 CLO983066:CLO983095 CVK983066:CVK983095 DFG983066:DFG983095 DPC983066:DPC983095 DYY983066:DYY983095 EIU983066:EIU983095 ESQ983066:ESQ983095 FCM983066:FCM983095 FMI983066:FMI983095 FWE983066:FWE983095 GGA983066:GGA983095 GPW983066:GPW983095 GZS983066:GZS983095 HJO983066:HJO983095 HTK983066:HTK983095 IDG983066:IDG983095 INC983066:INC983095 IWY983066:IWY983095 JGU983066:JGU983095 JQQ983066:JQQ983095 KAM983066:KAM983095 KKI983066:KKI983095 KUE983066:KUE983095 LEA983066:LEA983095 LNW983066:LNW983095 LXS983066:LXS983095 MHO983066:MHO983095 MRK983066:MRK983095 NBG983066:NBG983095 NLC983066:NLC983095 NUY983066:NUY983095 OEU983066:OEU983095 OOQ983066:OOQ983095 OYM983066:OYM983095 PII983066:PII983095 PSE983066:PSE983095 QCA983066:QCA983095 QLW983066:QLW983095 QVS983066:QVS983095 RFO983066:RFO983095 RPK983066:RPK983095 RZG983066:RZG983095 SJC983066:SJC983095 SSY983066:SSY983095 TCU983066:TCU983095 TMQ983066:TMQ983095 TWM983066:TWM983095 UGI983066:UGI983095 UQE983066:UQE983095 VAA983066:VAA983095 VJW983066:VJW983095 VTS983066:VTS983095 WDO983066:WDO983095 UGE7:UGE58 TWI7:TWI58 TMM7:TMM58 TCQ7:TCQ58 SSU7:SSU58 SIY7:SIY58 RZC7:RZC58 RPG7:RPG58 RFK7:RFK58 QVO7:QVO58 QLS7:QLS58 QBW7:QBW58 PSA7:PSA58 PIE7:PIE58 OYI7:OYI58 OOM7:OOM58 OEQ7:OEQ58 NUU7:NUU58 NKY7:NKY58 NBC7:NBC58 MRG7:MRG58 MHK7:MHK58 LXO7:LXO58 LNS7:LNS58 LDW7:LDW58 KUA7:KUA58 KKE7:KKE58 KAI7:KAI58 JQM7:JQM58 JGQ7:JGQ58 IWU7:IWU58 IMY7:IMY58 IDC7:IDC58 HTG7:HTG58 HJK7:HJK58 GZO7:GZO58 GPS7:GPS58 GFW7:GFW58 FWA7:FWA58 FME7:FME58 FCI7:FCI58 ESM7:ESM58 EIQ7:EIQ58 DYU7:DYU58 DOY7:DOY58 DFC7:DFC58 CVG7:CVG58 CLK7:CLK58 CBO7:CBO58 BRS7:BRS58 BHW7:BHW58 AYA7:AYA58 AOE7:AOE58 AEI7:AEI58 UM7:UM58 KQ7:KQ58 AU7:AU58 VTO7:VTO58 WNG7:WNG58 WDK7:WDK58 VJS7:VJS58 UZW7:UZW58 UQA7:UQA58" xr:uid="{855F6B68-028B-4980-B22A-8A39AD64CF66}">
      <formula1>"สมเด็จ, มานพ, นิคม, คลองเตย,"</formula1>
    </dataValidation>
    <dataValidation type="list" allowBlank="1" showInputMessage="1" showErrorMessage="1" sqref="WNJ983066:WNJ983095 AX65562:AX65591 KT65562:KT65591 UP65562:UP65591 AEL65562:AEL65591 AOH65562:AOH65591 AYD65562:AYD65591 BHZ65562:BHZ65591 BRV65562:BRV65591 CBR65562:CBR65591 CLN65562:CLN65591 CVJ65562:CVJ65591 DFF65562:DFF65591 DPB65562:DPB65591 DYX65562:DYX65591 EIT65562:EIT65591 ESP65562:ESP65591 FCL65562:FCL65591 FMH65562:FMH65591 FWD65562:FWD65591 GFZ65562:GFZ65591 GPV65562:GPV65591 GZR65562:GZR65591 HJN65562:HJN65591 HTJ65562:HTJ65591 IDF65562:IDF65591 INB65562:INB65591 IWX65562:IWX65591 JGT65562:JGT65591 JQP65562:JQP65591 KAL65562:KAL65591 KKH65562:KKH65591 KUD65562:KUD65591 LDZ65562:LDZ65591 LNV65562:LNV65591 LXR65562:LXR65591 MHN65562:MHN65591 MRJ65562:MRJ65591 NBF65562:NBF65591 NLB65562:NLB65591 NUX65562:NUX65591 OET65562:OET65591 OOP65562:OOP65591 OYL65562:OYL65591 PIH65562:PIH65591 PSD65562:PSD65591 QBZ65562:QBZ65591 QLV65562:QLV65591 QVR65562:QVR65591 RFN65562:RFN65591 RPJ65562:RPJ65591 RZF65562:RZF65591 SJB65562:SJB65591 SSX65562:SSX65591 TCT65562:TCT65591 TMP65562:TMP65591 TWL65562:TWL65591 UGH65562:UGH65591 UQD65562:UQD65591 UZZ65562:UZZ65591 VJV65562:VJV65591 VTR65562:VTR65591 WDN65562:WDN65591 WNJ65562:WNJ65591 AX131098:AX131127 KT131098:KT131127 UP131098:UP131127 AEL131098:AEL131127 AOH131098:AOH131127 AYD131098:AYD131127 BHZ131098:BHZ131127 BRV131098:BRV131127 CBR131098:CBR131127 CLN131098:CLN131127 CVJ131098:CVJ131127 DFF131098:DFF131127 DPB131098:DPB131127 DYX131098:DYX131127 EIT131098:EIT131127 ESP131098:ESP131127 FCL131098:FCL131127 FMH131098:FMH131127 FWD131098:FWD131127 GFZ131098:GFZ131127 GPV131098:GPV131127 GZR131098:GZR131127 HJN131098:HJN131127 HTJ131098:HTJ131127 IDF131098:IDF131127 INB131098:INB131127 IWX131098:IWX131127 JGT131098:JGT131127 JQP131098:JQP131127 KAL131098:KAL131127 KKH131098:KKH131127 KUD131098:KUD131127 LDZ131098:LDZ131127 LNV131098:LNV131127 LXR131098:LXR131127 MHN131098:MHN131127 MRJ131098:MRJ131127 NBF131098:NBF131127 NLB131098:NLB131127 NUX131098:NUX131127 OET131098:OET131127 OOP131098:OOP131127 OYL131098:OYL131127 PIH131098:PIH131127 PSD131098:PSD131127 QBZ131098:QBZ131127 QLV131098:QLV131127 QVR131098:QVR131127 RFN131098:RFN131127 RPJ131098:RPJ131127 RZF131098:RZF131127 SJB131098:SJB131127 SSX131098:SSX131127 TCT131098:TCT131127 TMP131098:TMP131127 TWL131098:TWL131127 UGH131098:UGH131127 UQD131098:UQD131127 UZZ131098:UZZ131127 VJV131098:VJV131127 VTR131098:VTR131127 WDN131098:WDN131127 WNJ131098:WNJ131127 AX196634:AX196663 KT196634:KT196663 UP196634:UP196663 AEL196634:AEL196663 AOH196634:AOH196663 AYD196634:AYD196663 BHZ196634:BHZ196663 BRV196634:BRV196663 CBR196634:CBR196663 CLN196634:CLN196663 CVJ196634:CVJ196663 DFF196634:DFF196663 DPB196634:DPB196663 DYX196634:DYX196663 EIT196634:EIT196663 ESP196634:ESP196663 FCL196634:FCL196663 FMH196634:FMH196663 FWD196634:FWD196663 GFZ196634:GFZ196663 GPV196634:GPV196663 GZR196634:GZR196663 HJN196634:HJN196663 HTJ196634:HTJ196663 IDF196634:IDF196663 INB196634:INB196663 IWX196634:IWX196663 JGT196634:JGT196663 JQP196634:JQP196663 KAL196634:KAL196663 KKH196634:KKH196663 KUD196634:KUD196663 LDZ196634:LDZ196663 LNV196634:LNV196663 LXR196634:LXR196663 MHN196634:MHN196663 MRJ196634:MRJ196663 NBF196634:NBF196663 NLB196634:NLB196663 NUX196634:NUX196663 OET196634:OET196663 OOP196634:OOP196663 OYL196634:OYL196663 PIH196634:PIH196663 PSD196634:PSD196663 QBZ196634:QBZ196663 QLV196634:QLV196663 QVR196634:QVR196663 RFN196634:RFN196663 RPJ196634:RPJ196663 RZF196634:RZF196663 SJB196634:SJB196663 SSX196634:SSX196663 TCT196634:TCT196663 TMP196634:TMP196663 TWL196634:TWL196663 UGH196634:UGH196663 UQD196634:UQD196663 UZZ196634:UZZ196663 VJV196634:VJV196663 VTR196634:VTR196663 WDN196634:WDN196663 WNJ196634:WNJ196663 AX262170:AX262199 KT262170:KT262199 UP262170:UP262199 AEL262170:AEL262199 AOH262170:AOH262199 AYD262170:AYD262199 BHZ262170:BHZ262199 BRV262170:BRV262199 CBR262170:CBR262199 CLN262170:CLN262199 CVJ262170:CVJ262199 DFF262170:DFF262199 DPB262170:DPB262199 DYX262170:DYX262199 EIT262170:EIT262199 ESP262170:ESP262199 FCL262170:FCL262199 FMH262170:FMH262199 FWD262170:FWD262199 GFZ262170:GFZ262199 GPV262170:GPV262199 GZR262170:GZR262199 HJN262170:HJN262199 HTJ262170:HTJ262199 IDF262170:IDF262199 INB262170:INB262199 IWX262170:IWX262199 JGT262170:JGT262199 JQP262170:JQP262199 KAL262170:KAL262199 KKH262170:KKH262199 KUD262170:KUD262199 LDZ262170:LDZ262199 LNV262170:LNV262199 LXR262170:LXR262199 MHN262170:MHN262199 MRJ262170:MRJ262199 NBF262170:NBF262199 NLB262170:NLB262199 NUX262170:NUX262199 OET262170:OET262199 OOP262170:OOP262199 OYL262170:OYL262199 PIH262170:PIH262199 PSD262170:PSD262199 QBZ262170:QBZ262199 QLV262170:QLV262199 QVR262170:QVR262199 RFN262170:RFN262199 RPJ262170:RPJ262199 RZF262170:RZF262199 SJB262170:SJB262199 SSX262170:SSX262199 TCT262170:TCT262199 TMP262170:TMP262199 TWL262170:TWL262199 UGH262170:UGH262199 UQD262170:UQD262199 UZZ262170:UZZ262199 VJV262170:VJV262199 VTR262170:VTR262199 WDN262170:WDN262199 WNJ262170:WNJ262199 AX327706:AX327735 KT327706:KT327735 UP327706:UP327735 AEL327706:AEL327735 AOH327706:AOH327735 AYD327706:AYD327735 BHZ327706:BHZ327735 BRV327706:BRV327735 CBR327706:CBR327735 CLN327706:CLN327735 CVJ327706:CVJ327735 DFF327706:DFF327735 DPB327706:DPB327735 DYX327706:DYX327735 EIT327706:EIT327735 ESP327706:ESP327735 FCL327706:FCL327735 FMH327706:FMH327735 FWD327706:FWD327735 GFZ327706:GFZ327735 GPV327706:GPV327735 GZR327706:GZR327735 HJN327706:HJN327735 HTJ327706:HTJ327735 IDF327706:IDF327735 INB327706:INB327735 IWX327706:IWX327735 JGT327706:JGT327735 JQP327706:JQP327735 KAL327706:KAL327735 KKH327706:KKH327735 KUD327706:KUD327735 LDZ327706:LDZ327735 LNV327706:LNV327735 LXR327706:LXR327735 MHN327706:MHN327735 MRJ327706:MRJ327735 NBF327706:NBF327735 NLB327706:NLB327735 NUX327706:NUX327735 OET327706:OET327735 OOP327706:OOP327735 OYL327706:OYL327735 PIH327706:PIH327735 PSD327706:PSD327735 QBZ327706:QBZ327735 QLV327706:QLV327735 QVR327706:QVR327735 RFN327706:RFN327735 RPJ327706:RPJ327735 RZF327706:RZF327735 SJB327706:SJB327735 SSX327706:SSX327735 TCT327706:TCT327735 TMP327706:TMP327735 TWL327706:TWL327735 UGH327706:UGH327735 UQD327706:UQD327735 UZZ327706:UZZ327735 VJV327706:VJV327735 VTR327706:VTR327735 WDN327706:WDN327735 WNJ327706:WNJ327735 AX393242:AX393271 KT393242:KT393271 UP393242:UP393271 AEL393242:AEL393271 AOH393242:AOH393271 AYD393242:AYD393271 BHZ393242:BHZ393271 BRV393242:BRV393271 CBR393242:CBR393271 CLN393242:CLN393271 CVJ393242:CVJ393271 DFF393242:DFF393271 DPB393242:DPB393271 DYX393242:DYX393271 EIT393242:EIT393271 ESP393242:ESP393271 FCL393242:FCL393271 FMH393242:FMH393271 FWD393242:FWD393271 GFZ393242:GFZ393271 GPV393242:GPV393271 GZR393242:GZR393271 HJN393242:HJN393271 HTJ393242:HTJ393271 IDF393242:IDF393271 INB393242:INB393271 IWX393242:IWX393271 JGT393242:JGT393271 JQP393242:JQP393271 KAL393242:KAL393271 KKH393242:KKH393271 KUD393242:KUD393271 LDZ393242:LDZ393271 LNV393242:LNV393271 LXR393242:LXR393271 MHN393242:MHN393271 MRJ393242:MRJ393271 NBF393242:NBF393271 NLB393242:NLB393271 NUX393242:NUX393271 OET393242:OET393271 OOP393242:OOP393271 OYL393242:OYL393271 PIH393242:PIH393271 PSD393242:PSD393271 QBZ393242:QBZ393271 QLV393242:QLV393271 QVR393242:QVR393271 RFN393242:RFN393271 RPJ393242:RPJ393271 RZF393242:RZF393271 SJB393242:SJB393271 SSX393242:SSX393271 TCT393242:TCT393271 TMP393242:TMP393271 TWL393242:TWL393271 UGH393242:UGH393271 UQD393242:UQD393271 UZZ393242:UZZ393271 VJV393242:VJV393271 VTR393242:VTR393271 WDN393242:WDN393271 WNJ393242:WNJ393271 AX458778:AX458807 KT458778:KT458807 UP458778:UP458807 AEL458778:AEL458807 AOH458778:AOH458807 AYD458778:AYD458807 BHZ458778:BHZ458807 BRV458778:BRV458807 CBR458778:CBR458807 CLN458778:CLN458807 CVJ458778:CVJ458807 DFF458778:DFF458807 DPB458778:DPB458807 DYX458778:DYX458807 EIT458778:EIT458807 ESP458778:ESP458807 FCL458778:FCL458807 FMH458778:FMH458807 FWD458778:FWD458807 GFZ458778:GFZ458807 GPV458778:GPV458807 GZR458778:GZR458807 HJN458778:HJN458807 HTJ458778:HTJ458807 IDF458778:IDF458807 INB458778:INB458807 IWX458778:IWX458807 JGT458778:JGT458807 JQP458778:JQP458807 KAL458778:KAL458807 KKH458778:KKH458807 KUD458778:KUD458807 LDZ458778:LDZ458807 LNV458778:LNV458807 LXR458778:LXR458807 MHN458778:MHN458807 MRJ458778:MRJ458807 NBF458778:NBF458807 NLB458778:NLB458807 NUX458778:NUX458807 OET458778:OET458807 OOP458778:OOP458807 OYL458778:OYL458807 PIH458778:PIH458807 PSD458778:PSD458807 QBZ458778:QBZ458807 QLV458778:QLV458807 QVR458778:QVR458807 RFN458778:RFN458807 RPJ458778:RPJ458807 RZF458778:RZF458807 SJB458778:SJB458807 SSX458778:SSX458807 TCT458778:TCT458807 TMP458778:TMP458807 TWL458778:TWL458807 UGH458778:UGH458807 UQD458778:UQD458807 UZZ458778:UZZ458807 VJV458778:VJV458807 VTR458778:VTR458807 WDN458778:WDN458807 WNJ458778:WNJ458807 AX524314:AX524343 KT524314:KT524343 UP524314:UP524343 AEL524314:AEL524343 AOH524314:AOH524343 AYD524314:AYD524343 BHZ524314:BHZ524343 BRV524314:BRV524343 CBR524314:CBR524343 CLN524314:CLN524343 CVJ524314:CVJ524343 DFF524314:DFF524343 DPB524314:DPB524343 DYX524314:DYX524343 EIT524314:EIT524343 ESP524314:ESP524343 FCL524314:FCL524343 FMH524314:FMH524343 FWD524314:FWD524343 GFZ524314:GFZ524343 GPV524314:GPV524343 GZR524314:GZR524343 HJN524314:HJN524343 HTJ524314:HTJ524343 IDF524314:IDF524343 INB524314:INB524343 IWX524314:IWX524343 JGT524314:JGT524343 JQP524314:JQP524343 KAL524314:KAL524343 KKH524314:KKH524343 KUD524314:KUD524343 LDZ524314:LDZ524343 LNV524314:LNV524343 LXR524314:LXR524343 MHN524314:MHN524343 MRJ524314:MRJ524343 NBF524314:NBF524343 NLB524314:NLB524343 NUX524314:NUX524343 OET524314:OET524343 OOP524314:OOP524343 OYL524314:OYL524343 PIH524314:PIH524343 PSD524314:PSD524343 QBZ524314:QBZ524343 QLV524314:QLV524343 QVR524314:QVR524343 RFN524314:RFN524343 RPJ524314:RPJ524343 RZF524314:RZF524343 SJB524314:SJB524343 SSX524314:SSX524343 TCT524314:TCT524343 TMP524314:TMP524343 TWL524314:TWL524343 UGH524314:UGH524343 UQD524314:UQD524343 UZZ524314:UZZ524343 VJV524314:VJV524343 VTR524314:VTR524343 WDN524314:WDN524343 WNJ524314:WNJ524343 AX589850:AX589879 KT589850:KT589879 UP589850:UP589879 AEL589850:AEL589879 AOH589850:AOH589879 AYD589850:AYD589879 BHZ589850:BHZ589879 BRV589850:BRV589879 CBR589850:CBR589879 CLN589850:CLN589879 CVJ589850:CVJ589879 DFF589850:DFF589879 DPB589850:DPB589879 DYX589850:DYX589879 EIT589850:EIT589879 ESP589850:ESP589879 FCL589850:FCL589879 FMH589850:FMH589879 FWD589850:FWD589879 GFZ589850:GFZ589879 GPV589850:GPV589879 GZR589850:GZR589879 HJN589850:HJN589879 HTJ589850:HTJ589879 IDF589850:IDF589879 INB589850:INB589879 IWX589850:IWX589879 JGT589850:JGT589879 JQP589850:JQP589879 KAL589850:KAL589879 KKH589850:KKH589879 KUD589850:KUD589879 LDZ589850:LDZ589879 LNV589850:LNV589879 LXR589850:LXR589879 MHN589850:MHN589879 MRJ589850:MRJ589879 NBF589850:NBF589879 NLB589850:NLB589879 NUX589850:NUX589879 OET589850:OET589879 OOP589850:OOP589879 OYL589850:OYL589879 PIH589850:PIH589879 PSD589850:PSD589879 QBZ589850:QBZ589879 QLV589850:QLV589879 QVR589850:QVR589879 RFN589850:RFN589879 RPJ589850:RPJ589879 RZF589850:RZF589879 SJB589850:SJB589879 SSX589850:SSX589879 TCT589850:TCT589879 TMP589850:TMP589879 TWL589850:TWL589879 UGH589850:UGH589879 UQD589850:UQD589879 UZZ589850:UZZ589879 VJV589850:VJV589879 VTR589850:VTR589879 WDN589850:WDN589879 WNJ589850:WNJ589879 AX655386:AX655415 KT655386:KT655415 UP655386:UP655415 AEL655386:AEL655415 AOH655386:AOH655415 AYD655386:AYD655415 BHZ655386:BHZ655415 BRV655386:BRV655415 CBR655386:CBR655415 CLN655386:CLN655415 CVJ655386:CVJ655415 DFF655386:DFF655415 DPB655386:DPB655415 DYX655386:DYX655415 EIT655386:EIT655415 ESP655386:ESP655415 FCL655386:FCL655415 FMH655386:FMH655415 FWD655386:FWD655415 GFZ655386:GFZ655415 GPV655386:GPV655415 GZR655386:GZR655415 HJN655386:HJN655415 HTJ655386:HTJ655415 IDF655386:IDF655415 INB655386:INB655415 IWX655386:IWX655415 JGT655386:JGT655415 JQP655386:JQP655415 KAL655386:KAL655415 KKH655386:KKH655415 KUD655386:KUD655415 LDZ655386:LDZ655415 LNV655386:LNV655415 LXR655386:LXR655415 MHN655386:MHN655415 MRJ655386:MRJ655415 NBF655386:NBF655415 NLB655386:NLB655415 NUX655386:NUX655415 OET655386:OET655415 OOP655386:OOP655415 OYL655386:OYL655415 PIH655386:PIH655415 PSD655386:PSD655415 QBZ655386:QBZ655415 QLV655386:QLV655415 QVR655386:QVR655415 RFN655386:RFN655415 RPJ655386:RPJ655415 RZF655386:RZF655415 SJB655386:SJB655415 SSX655386:SSX655415 TCT655386:TCT655415 TMP655386:TMP655415 TWL655386:TWL655415 UGH655386:UGH655415 UQD655386:UQD655415 UZZ655386:UZZ655415 VJV655386:VJV655415 VTR655386:VTR655415 WDN655386:WDN655415 WNJ655386:WNJ655415 AX720922:AX720951 KT720922:KT720951 UP720922:UP720951 AEL720922:AEL720951 AOH720922:AOH720951 AYD720922:AYD720951 BHZ720922:BHZ720951 BRV720922:BRV720951 CBR720922:CBR720951 CLN720922:CLN720951 CVJ720922:CVJ720951 DFF720922:DFF720951 DPB720922:DPB720951 DYX720922:DYX720951 EIT720922:EIT720951 ESP720922:ESP720951 FCL720922:FCL720951 FMH720922:FMH720951 FWD720922:FWD720951 GFZ720922:GFZ720951 GPV720922:GPV720951 GZR720922:GZR720951 HJN720922:HJN720951 HTJ720922:HTJ720951 IDF720922:IDF720951 INB720922:INB720951 IWX720922:IWX720951 JGT720922:JGT720951 JQP720922:JQP720951 KAL720922:KAL720951 KKH720922:KKH720951 KUD720922:KUD720951 LDZ720922:LDZ720951 LNV720922:LNV720951 LXR720922:LXR720951 MHN720922:MHN720951 MRJ720922:MRJ720951 NBF720922:NBF720951 NLB720922:NLB720951 NUX720922:NUX720951 OET720922:OET720951 OOP720922:OOP720951 OYL720922:OYL720951 PIH720922:PIH720951 PSD720922:PSD720951 QBZ720922:QBZ720951 QLV720922:QLV720951 QVR720922:QVR720951 RFN720922:RFN720951 RPJ720922:RPJ720951 RZF720922:RZF720951 SJB720922:SJB720951 SSX720922:SSX720951 TCT720922:TCT720951 TMP720922:TMP720951 TWL720922:TWL720951 UGH720922:UGH720951 UQD720922:UQD720951 UZZ720922:UZZ720951 VJV720922:VJV720951 VTR720922:VTR720951 WDN720922:WDN720951 WNJ720922:WNJ720951 AX786458:AX786487 KT786458:KT786487 UP786458:UP786487 AEL786458:AEL786487 AOH786458:AOH786487 AYD786458:AYD786487 BHZ786458:BHZ786487 BRV786458:BRV786487 CBR786458:CBR786487 CLN786458:CLN786487 CVJ786458:CVJ786487 DFF786458:DFF786487 DPB786458:DPB786487 DYX786458:DYX786487 EIT786458:EIT786487 ESP786458:ESP786487 FCL786458:FCL786487 FMH786458:FMH786487 FWD786458:FWD786487 GFZ786458:GFZ786487 GPV786458:GPV786487 GZR786458:GZR786487 HJN786458:HJN786487 HTJ786458:HTJ786487 IDF786458:IDF786487 INB786458:INB786487 IWX786458:IWX786487 JGT786458:JGT786487 JQP786458:JQP786487 KAL786458:KAL786487 KKH786458:KKH786487 KUD786458:KUD786487 LDZ786458:LDZ786487 LNV786458:LNV786487 LXR786458:LXR786487 MHN786458:MHN786487 MRJ786458:MRJ786487 NBF786458:NBF786487 NLB786458:NLB786487 NUX786458:NUX786487 OET786458:OET786487 OOP786458:OOP786487 OYL786458:OYL786487 PIH786458:PIH786487 PSD786458:PSD786487 QBZ786458:QBZ786487 QLV786458:QLV786487 QVR786458:QVR786487 RFN786458:RFN786487 RPJ786458:RPJ786487 RZF786458:RZF786487 SJB786458:SJB786487 SSX786458:SSX786487 TCT786458:TCT786487 TMP786458:TMP786487 TWL786458:TWL786487 UGH786458:UGH786487 UQD786458:UQD786487 UZZ786458:UZZ786487 VJV786458:VJV786487 VTR786458:VTR786487 WDN786458:WDN786487 WNJ786458:WNJ786487 AX851994:AX852023 KT851994:KT852023 UP851994:UP852023 AEL851994:AEL852023 AOH851994:AOH852023 AYD851994:AYD852023 BHZ851994:BHZ852023 BRV851994:BRV852023 CBR851994:CBR852023 CLN851994:CLN852023 CVJ851994:CVJ852023 DFF851994:DFF852023 DPB851994:DPB852023 DYX851994:DYX852023 EIT851994:EIT852023 ESP851994:ESP852023 FCL851994:FCL852023 FMH851994:FMH852023 FWD851994:FWD852023 GFZ851994:GFZ852023 GPV851994:GPV852023 GZR851994:GZR852023 HJN851994:HJN852023 HTJ851994:HTJ852023 IDF851994:IDF852023 INB851994:INB852023 IWX851994:IWX852023 JGT851994:JGT852023 JQP851994:JQP852023 KAL851994:KAL852023 KKH851994:KKH852023 KUD851994:KUD852023 LDZ851994:LDZ852023 LNV851994:LNV852023 LXR851994:LXR852023 MHN851994:MHN852023 MRJ851994:MRJ852023 NBF851994:NBF852023 NLB851994:NLB852023 NUX851994:NUX852023 OET851994:OET852023 OOP851994:OOP852023 OYL851994:OYL852023 PIH851994:PIH852023 PSD851994:PSD852023 QBZ851994:QBZ852023 QLV851994:QLV852023 QVR851994:QVR852023 RFN851994:RFN852023 RPJ851994:RPJ852023 RZF851994:RZF852023 SJB851994:SJB852023 SSX851994:SSX852023 TCT851994:TCT852023 TMP851994:TMP852023 TWL851994:TWL852023 UGH851994:UGH852023 UQD851994:UQD852023 UZZ851994:UZZ852023 VJV851994:VJV852023 VTR851994:VTR852023 WDN851994:WDN852023 WNJ851994:WNJ852023 AX917530:AX917559 KT917530:KT917559 UP917530:UP917559 AEL917530:AEL917559 AOH917530:AOH917559 AYD917530:AYD917559 BHZ917530:BHZ917559 BRV917530:BRV917559 CBR917530:CBR917559 CLN917530:CLN917559 CVJ917530:CVJ917559 DFF917530:DFF917559 DPB917530:DPB917559 DYX917530:DYX917559 EIT917530:EIT917559 ESP917530:ESP917559 FCL917530:FCL917559 FMH917530:FMH917559 FWD917530:FWD917559 GFZ917530:GFZ917559 GPV917530:GPV917559 GZR917530:GZR917559 HJN917530:HJN917559 HTJ917530:HTJ917559 IDF917530:IDF917559 INB917530:INB917559 IWX917530:IWX917559 JGT917530:JGT917559 JQP917530:JQP917559 KAL917530:KAL917559 KKH917530:KKH917559 KUD917530:KUD917559 LDZ917530:LDZ917559 LNV917530:LNV917559 LXR917530:LXR917559 MHN917530:MHN917559 MRJ917530:MRJ917559 NBF917530:NBF917559 NLB917530:NLB917559 NUX917530:NUX917559 OET917530:OET917559 OOP917530:OOP917559 OYL917530:OYL917559 PIH917530:PIH917559 PSD917530:PSD917559 QBZ917530:QBZ917559 QLV917530:QLV917559 QVR917530:QVR917559 RFN917530:RFN917559 RPJ917530:RPJ917559 RZF917530:RZF917559 SJB917530:SJB917559 SSX917530:SSX917559 TCT917530:TCT917559 TMP917530:TMP917559 TWL917530:TWL917559 UGH917530:UGH917559 UQD917530:UQD917559 UZZ917530:UZZ917559 VJV917530:VJV917559 VTR917530:VTR917559 WDN917530:WDN917559 WNJ917530:WNJ917559 AX983066:AX983095 KT983066:KT983095 UP983066:UP983095 AEL983066:AEL983095 AOH983066:AOH983095 AYD983066:AYD983095 BHZ983066:BHZ983095 BRV983066:BRV983095 CBR983066:CBR983095 CLN983066:CLN983095 CVJ983066:CVJ983095 DFF983066:DFF983095 DPB983066:DPB983095 DYX983066:DYX983095 EIT983066:EIT983095 ESP983066:ESP983095 FCL983066:FCL983095 FMH983066:FMH983095 FWD983066:FWD983095 GFZ983066:GFZ983095 GPV983066:GPV983095 GZR983066:GZR983095 HJN983066:HJN983095 HTJ983066:HTJ983095 IDF983066:IDF983095 INB983066:INB983095 IWX983066:IWX983095 JGT983066:JGT983095 JQP983066:JQP983095 KAL983066:KAL983095 KKH983066:KKH983095 KUD983066:KUD983095 LDZ983066:LDZ983095 LNV983066:LNV983095 LXR983066:LXR983095 MHN983066:MHN983095 MRJ983066:MRJ983095 NBF983066:NBF983095 NLB983066:NLB983095 NUX983066:NUX983095 OET983066:OET983095 OOP983066:OOP983095 OYL983066:OYL983095 PIH983066:PIH983095 PSD983066:PSD983095 QBZ983066:QBZ983095 QLV983066:QLV983095 QVR983066:QVR983095 RFN983066:RFN983095 RPJ983066:RPJ983095 RZF983066:RZF983095 SJB983066:SJB983095 SSX983066:SSX983095 TCT983066:TCT983095 TMP983066:TMP983095 TWL983066:TWL983095 UGH983066:UGH983095 UQD983066:UQD983095 UZZ983066:UZZ983095 VJV983066:VJV983095 VTR983066:VTR983095 WDN983066:WDN983095 VTN7:VTN58 VJR7:VJR58 UZV7:UZV58 UPZ7:UPZ58 UGD7:UGD58 TWH7:TWH58 TML7:TML58 TCP7:TCP58 SST7:SST58 SIX7:SIX58 RZB7:RZB58 RPF7:RPF58 RFJ7:RFJ58 QVN7:QVN58 QLR7:QLR58 QBV7:QBV58 PRZ7:PRZ58 PID7:PID58 OYH7:OYH58 OOL7:OOL58 OEP7:OEP58 NUT7:NUT58 NKX7:NKX58 NBB7:NBB58 MRF7:MRF58 MHJ7:MHJ58 LXN7:LXN58 LNR7:LNR58 LDV7:LDV58 KTZ7:KTZ58 KKD7:KKD58 KAH7:KAH58 JQL7:JQL58 JGP7:JGP58 IWT7:IWT58 IMX7:IMX58 IDB7:IDB58 HTF7:HTF58 HJJ7:HJJ58 GZN7:GZN58 GPR7:GPR58 GFV7:GFV58 FVZ7:FVZ58 FMD7:FMD58 FCH7:FCH58 ESL7:ESL58 EIP7:EIP58 DYT7:DYT58 DOX7:DOX58 DFB7:DFB58 CVF7:CVF58 CLJ7:CLJ58 CBN7:CBN58 BRR7:BRR58 BHV7:BHV58 AXZ7:AXZ58 AOD7:AOD58 AEH7:AEH58 UL7:UL58 KP7:KP58 AT7:AT58 WNF7:WNF58 WDJ7:WDJ58" xr:uid="{838E78F2-783C-433A-B3B0-B785667219EB}">
      <formula1>"จันทราภรณ์, รัฏฏิการ์, คชเขม, มาร์ค,สมเด็"</formula1>
    </dataValidation>
  </dataValidations>
  <printOptions horizontalCentered="1"/>
  <pageMargins left="0.23622047244094491" right="0.11811023622047245" top="0.39370078740157483" bottom="0.23622047244094491" header="0.39370078740157483" footer="0.31496062992125984"/>
  <pageSetup paperSize="8" scale="33" fitToHeight="2" orientation="landscape" r:id="rId1"/>
  <headerFooter alignWithMargins="0"/>
  <ignoredErrors>
    <ignoredError sqref="AL59 AC59" unlockedFormula="1"/>
  </ignoredError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4E7F0564-84BE-4DDD-AEAC-5A1FDC367F41}">
          <x14:formula1>
            <xm:f>Ref!$B$2:$B$18</xm:f>
          </x14:formula1>
          <xm:sqref>D51 D47 D15 D11 D7 D19 D23 D27 D31 D35 D43 D39 D55</xm:sqref>
        </x14:dataValidation>
        <x14:dataValidation type="list" allowBlank="1" showInputMessage="1" showErrorMessage="1" xr:uid="{5BF4A911-C3A6-4585-85E2-A5F3557B19DD}">
          <x14:formula1>
            <xm:f>Ref!$D$2:$D$3</xm:f>
          </x14:formula1>
          <xm:sqref>K7 K11 K15 K19 K23 K27 K31 K35 K43 K39 V43 K47 K51 V7 V11 V15 V19 V23 V27 V31 V35 V47 V39 AE43 AE47 V51 AE7 AE11 AE15 AE19 AE23 AE27 AE31 AE35 AE51 AE39 K55 V55 AE55</xm:sqref>
        </x14:dataValidation>
        <x14:dataValidation type="list" allowBlank="1" showInputMessage="1" showErrorMessage="1" xr:uid="{6070C04B-CD25-4340-BB4C-216D792EDCD6}">
          <x14:formula1>
            <xm:f>Ref!$C$2:$C$16</xm:f>
          </x14:formula1>
          <xm:sqref>E47 E43 E39 E51 E35 E31 E27 E23 E19 E15 E7 E11 E55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736E2-5906-4F5B-9831-185895FA3729}">
  <sheetPr codeName="Sheet4">
    <tabColor rgb="FF92D050"/>
    <pageSetUpPr fitToPage="1"/>
  </sheetPr>
  <dimension ref="A1:WWC205"/>
  <sheetViews>
    <sheetView zoomScale="85" zoomScaleNormal="85" workbookViewId="0">
      <selection activeCell="JG15" sqref="JG14:JG15"/>
    </sheetView>
  </sheetViews>
  <sheetFormatPr defaultColWidth="0" defaultRowHeight="0" customHeight="1" zeroHeight="1"/>
  <cols>
    <col min="1" max="1" width="6.88671875" style="58" customWidth="1"/>
    <col min="2" max="2" width="27.33203125" style="58" customWidth="1"/>
    <col min="3" max="3" width="27.44140625" style="58" bestFit="1" customWidth="1"/>
    <col min="4" max="4" width="29" style="58" customWidth="1"/>
    <col min="5" max="5" width="15.88671875" style="67" bestFit="1" customWidth="1"/>
    <col min="6" max="6" width="15.88671875" style="67" customWidth="1"/>
    <col min="7" max="7" width="16.5546875" style="67" bestFit="1" customWidth="1"/>
    <col min="8" max="8" width="15.88671875" style="67" customWidth="1"/>
    <col min="9" max="9" width="19.5546875" style="67" customWidth="1"/>
    <col min="10" max="10" width="15.77734375" style="58" customWidth="1"/>
    <col min="11" max="11" width="16.44140625" style="58" customWidth="1"/>
    <col min="12" max="12" width="14.5546875" style="58" customWidth="1"/>
    <col min="13" max="15" width="15.77734375" style="58" hidden="1" customWidth="1"/>
    <col min="16" max="17" width="8" style="58" hidden="1" customWidth="1"/>
    <col min="18" max="257" width="9.109375" style="58" hidden="1"/>
    <col min="258" max="258" width="11" style="58" hidden="1" customWidth="1"/>
    <col min="259" max="259" width="24" style="58" hidden="1" customWidth="1"/>
    <col min="260" max="260" width="14" style="58" hidden="1" customWidth="1"/>
    <col min="261" max="261" width="14.109375" style="58" hidden="1" customWidth="1"/>
    <col min="262" max="262" width="13" style="58" hidden="1" customWidth="1"/>
    <col min="263" max="263" width="14" style="58" hidden="1" customWidth="1"/>
    <col min="264" max="264" width="15" style="58" hidden="1" customWidth="1"/>
    <col min="265" max="265" width="15.21875" style="58" hidden="1" customWidth="1"/>
    <col min="266" max="266" width="1.88671875" style="58" customWidth="1"/>
    <col min="267" max="267" width="10.5546875" style="58" customWidth="1"/>
    <col min="268" max="272" width="8" style="58" customWidth="1"/>
    <col min="273" max="512" width="9.109375" style="58" hidden="1"/>
    <col min="513" max="513" width="6.88671875" style="58" customWidth="1"/>
    <col min="514" max="514" width="23.33203125" style="58" customWidth="1"/>
    <col min="515" max="515" width="42.88671875" style="58" customWidth="1"/>
    <col min="516" max="516" width="14" style="58" customWidth="1"/>
    <col min="517" max="517" width="14.109375" style="58" customWidth="1"/>
    <col min="518" max="518" width="13" style="58" customWidth="1"/>
    <col min="519" max="519" width="14" style="58" customWidth="1"/>
    <col min="520" max="520" width="15" style="58" customWidth="1"/>
    <col min="521" max="521" width="15.21875" style="58" customWidth="1"/>
    <col min="522" max="522" width="1.88671875" style="58" customWidth="1"/>
    <col min="523" max="523" width="10.5546875" style="58" customWidth="1"/>
    <col min="524" max="528" width="8" style="58" customWidth="1"/>
    <col min="529" max="768" width="9.109375" style="58" hidden="1"/>
    <col min="769" max="769" width="6.88671875" style="58" customWidth="1"/>
    <col min="770" max="770" width="23.33203125" style="58" customWidth="1"/>
    <col min="771" max="771" width="42.88671875" style="58" customWidth="1"/>
    <col min="772" max="772" width="14" style="58" customWidth="1"/>
    <col min="773" max="773" width="14.109375" style="58" customWidth="1"/>
    <col min="774" max="774" width="13" style="58" customWidth="1"/>
    <col min="775" max="775" width="14" style="58" customWidth="1"/>
    <col min="776" max="776" width="15" style="58" customWidth="1"/>
    <col min="777" max="777" width="15.21875" style="58" customWidth="1"/>
    <col min="778" max="778" width="1.88671875" style="58" customWidth="1"/>
    <col min="779" max="779" width="10.5546875" style="58" customWidth="1"/>
    <col min="780" max="784" width="8" style="58" customWidth="1"/>
    <col min="785" max="1024" width="9.109375" style="58" hidden="1"/>
    <col min="1025" max="1025" width="6.88671875" style="58" customWidth="1"/>
    <col min="1026" max="1026" width="23.33203125" style="58" customWidth="1"/>
    <col min="1027" max="1027" width="42.88671875" style="58" customWidth="1"/>
    <col min="1028" max="1028" width="14" style="58" customWidth="1"/>
    <col min="1029" max="1029" width="14.109375" style="58" customWidth="1"/>
    <col min="1030" max="1030" width="13" style="58" customWidth="1"/>
    <col min="1031" max="1031" width="14" style="58" customWidth="1"/>
    <col min="1032" max="1032" width="15" style="58" customWidth="1"/>
    <col min="1033" max="1033" width="15.21875" style="58" customWidth="1"/>
    <col min="1034" max="1034" width="1.88671875" style="58" customWidth="1"/>
    <col min="1035" max="1035" width="10.5546875" style="58" customWidth="1"/>
    <col min="1036" max="1040" width="8" style="58" customWidth="1"/>
    <col min="1041" max="1280" width="9.109375" style="58" hidden="1"/>
    <col min="1281" max="1281" width="6.88671875" style="58" customWidth="1"/>
    <col min="1282" max="1282" width="23.33203125" style="58" customWidth="1"/>
    <col min="1283" max="1283" width="42.88671875" style="58" customWidth="1"/>
    <col min="1284" max="1284" width="14" style="58" customWidth="1"/>
    <col min="1285" max="1285" width="14.109375" style="58" customWidth="1"/>
    <col min="1286" max="1286" width="13" style="58" customWidth="1"/>
    <col min="1287" max="1287" width="14" style="58" customWidth="1"/>
    <col min="1288" max="1288" width="15" style="58" customWidth="1"/>
    <col min="1289" max="1289" width="15.21875" style="58" customWidth="1"/>
    <col min="1290" max="1290" width="1.88671875" style="58" customWidth="1"/>
    <col min="1291" max="1291" width="10.5546875" style="58" customWidth="1"/>
    <col min="1292" max="1296" width="8" style="58" customWidth="1"/>
    <col min="1297" max="1536" width="9.109375" style="58" hidden="1"/>
    <col min="1537" max="1537" width="6.88671875" style="58" customWidth="1"/>
    <col min="1538" max="1538" width="23.33203125" style="58" customWidth="1"/>
    <col min="1539" max="1539" width="42.88671875" style="58" customWidth="1"/>
    <col min="1540" max="1540" width="14" style="58" customWidth="1"/>
    <col min="1541" max="1541" width="14.109375" style="58" customWidth="1"/>
    <col min="1542" max="1542" width="13" style="58" customWidth="1"/>
    <col min="1543" max="1543" width="14" style="58" customWidth="1"/>
    <col min="1544" max="1544" width="15" style="58" customWidth="1"/>
    <col min="1545" max="1545" width="15.21875" style="58" customWidth="1"/>
    <col min="1546" max="1546" width="1.88671875" style="58" customWidth="1"/>
    <col min="1547" max="1547" width="10.5546875" style="58" customWidth="1"/>
    <col min="1548" max="1552" width="8" style="58" customWidth="1"/>
    <col min="1553" max="1792" width="9.109375" style="58" hidden="1"/>
    <col min="1793" max="1793" width="6.88671875" style="58" customWidth="1"/>
    <col min="1794" max="1794" width="23.33203125" style="58" customWidth="1"/>
    <col min="1795" max="1795" width="42.88671875" style="58" customWidth="1"/>
    <col min="1796" max="1796" width="14" style="58" customWidth="1"/>
    <col min="1797" max="1797" width="14.109375" style="58" customWidth="1"/>
    <col min="1798" max="1798" width="13" style="58" customWidth="1"/>
    <col min="1799" max="1799" width="14" style="58" customWidth="1"/>
    <col min="1800" max="1800" width="15" style="58" customWidth="1"/>
    <col min="1801" max="1801" width="15.21875" style="58" customWidth="1"/>
    <col min="1802" max="1802" width="1.88671875" style="58" customWidth="1"/>
    <col min="1803" max="1803" width="10.5546875" style="58" customWidth="1"/>
    <col min="1804" max="1808" width="8" style="58" customWidth="1"/>
    <col min="1809" max="2048" width="9.109375" style="58" hidden="1"/>
    <col min="2049" max="2049" width="6.88671875" style="58" customWidth="1"/>
    <col min="2050" max="2050" width="23.33203125" style="58" customWidth="1"/>
    <col min="2051" max="2051" width="42.88671875" style="58" customWidth="1"/>
    <col min="2052" max="2052" width="14" style="58" customWidth="1"/>
    <col min="2053" max="2053" width="14.109375" style="58" customWidth="1"/>
    <col min="2054" max="2054" width="13" style="58" customWidth="1"/>
    <col min="2055" max="2055" width="14" style="58" customWidth="1"/>
    <col min="2056" max="2056" width="15" style="58" customWidth="1"/>
    <col min="2057" max="2057" width="15.21875" style="58" customWidth="1"/>
    <col min="2058" max="2058" width="1.88671875" style="58" customWidth="1"/>
    <col min="2059" max="2059" width="10.5546875" style="58" customWidth="1"/>
    <col min="2060" max="2064" width="8" style="58" customWidth="1"/>
    <col min="2065" max="2304" width="9.109375" style="58" hidden="1"/>
    <col min="2305" max="2305" width="6.88671875" style="58" customWidth="1"/>
    <col min="2306" max="2306" width="23.33203125" style="58" customWidth="1"/>
    <col min="2307" max="2307" width="42.88671875" style="58" customWidth="1"/>
    <col min="2308" max="2308" width="14" style="58" customWidth="1"/>
    <col min="2309" max="2309" width="14.109375" style="58" customWidth="1"/>
    <col min="2310" max="2310" width="13" style="58" customWidth="1"/>
    <col min="2311" max="2311" width="14" style="58" customWidth="1"/>
    <col min="2312" max="2312" width="15" style="58" customWidth="1"/>
    <col min="2313" max="2313" width="15.21875" style="58" customWidth="1"/>
    <col min="2314" max="2314" width="1.88671875" style="58" customWidth="1"/>
    <col min="2315" max="2315" width="10.5546875" style="58" customWidth="1"/>
    <col min="2316" max="2320" width="8" style="58" customWidth="1"/>
    <col min="2321" max="2560" width="9.109375" style="58" hidden="1"/>
    <col min="2561" max="2561" width="6.88671875" style="58" customWidth="1"/>
    <col min="2562" max="2562" width="23.33203125" style="58" customWidth="1"/>
    <col min="2563" max="2563" width="42.88671875" style="58" customWidth="1"/>
    <col min="2564" max="2564" width="14" style="58" customWidth="1"/>
    <col min="2565" max="2565" width="14.109375" style="58" customWidth="1"/>
    <col min="2566" max="2566" width="13" style="58" customWidth="1"/>
    <col min="2567" max="2567" width="14" style="58" customWidth="1"/>
    <col min="2568" max="2568" width="15" style="58" customWidth="1"/>
    <col min="2569" max="2569" width="15.21875" style="58" customWidth="1"/>
    <col min="2570" max="2570" width="1.88671875" style="58" customWidth="1"/>
    <col min="2571" max="2571" width="10.5546875" style="58" customWidth="1"/>
    <col min="2572" max="2576" width="8" style="58" customWidth="1"/>
    <col min="2577" max="2816" width="9.109375" style="58" hidden="1"/>
    <col min="2817" max="2817" width="6.88671875" style="58" customWidth="1"/>
    <col min="2818" max="2818" width="23.33203125" style="58" customWidth="1"/>
    <col min="2819" max="2819" width="42.88671875" style="58" customWidth="1"/>
    <col min="2820" max="2820" width="14" style="58" customWidth="1"/>
    <col min="2821" max="2821" width="14.109375" style="58" customWidth="1"/>
    <col min="2822" max="2822" width="13" style="58" customWidth="1"/>
    <col min="2823" max="2823" width="14" style="58" customWidth="1"/>
    <col min="2824" max="2824" width="15" style="58" customWidth="1"/>
    <col min="2825" max="2825" width="15.21875" style="58" customWidth="1"/>
    <col min="2826" max="2826" width="1.88671875" style="58" customWidth="1"/>
    <col min="2827" max="2827" width="10.5546875" style="58" customWidth="1"/>
    <col min="2828" max="2832" width="8" style="58" customWidth="1"/>
    <col min="2833" max="3072" width="9.109375" style="58" hidden="1"/>
    <col min="3073" max="3073" width="6.88671875" style="58" customWidth="1"/>
    <col min="3074" max="3074" width="23.33203125" style="58" customWidth="1"/>
    <col min="3075" max="3075" width="42.88671875" style="58" customWidth="1"/>
    <col min="3076" max="3076" width="14" style="58" customWidth="1"/>
    <col min="3077" max="3077" width="14.109375" style="58" customWidth="1"/>
    <col min="3078" max="3078" width="13" style="58" customWidth="1"/>
    <col min="3079" max="3079" width="14" style="58" customWidth="1"/>
    <col min="3080" max="3080" width="15" style="58" customWidth="1"/>
    <col min="3081" max="3081" width="15.21875" style="58" customWidth="1"/>
    <col min="3082" max="3082" width="1.88671875" style="58" customWidth="1"/>
    <col min="3083" max="3083" width="10.5546875" style="58" customWidth="1"/>
    <col min="3084" max="3088" width="8" style="58" customWidth="1"/>
    <col min="3089" max="3328" width="9.109375" style="58" hidden="1"/>
    <col min="3329" max="3329" width="6.88671875" style="58" customWidth="1"/>
    <col min="3330" max="3330" width="23.33203125" style="58" customWidth="1"/>
    <col min="3331" max="3331" width="42.88671875" style="58" customWidth="1"/>
    <col min="3332" max="3332" width="14" style="58" customWidth="1"/>
    <col min="3333" max="3333" width="14.109375" style="58" customWidth="1"/>
    <col min="3334" max="3334" width="13" style="58" customWidth="1"/>
    <col min="3335" max="3335" width="14" style="58" customWidth="1"/>
    <col min="3336" max="3336" width="15" style="58" customWidth="1"/>
    <col min="3337" max="3337" width="15.21875" style="58" customWidth="1"/>
    <col min="3338" max="3338" width="1.88671875" style="58" customWidth="1"/>
    <col min="3339" max="3339" width="10.5546875" style="58" customWidth="1"/>
    <col min="3340" max="3344" width="8" style="58" customWidth="1"/>
    <col min="3345" max="3584" width="9.109375" style="58" hidden="1"/>
    <col min="3585" max="3585" width="6.88671875" style="58" customWidth="1"/>
    <col min="3586" max="3586" width="23.33203125" style="58" customWidth="1"/>
    <col min="3587" max="3587" width="42.88671875" style="58" customWidth="1"/>
    <col min="3588" max="3588" width="14" style="58" customWidth="1"/>
    <col min="3589" max="3589" width="14.109375" style="58" customWidth="1"/>
    <col min="3590" max="3590" width="13" style="58" customWidth="1"/>
    <col min="3591" max="3591" width="14" style="58" customWidth="1"/>
    <col min="3592" max="3592" width="15" style="58" customWidth="1"/>
    <col min="3593" max="3593" width="15.21875" style="58" customWidth="1"/>
    <col min="3594" max="3594" width="1.88671875" style="58" customWidth="1"/>
    <col min="3595" max="3595" width="10.5546875" style="58" customWidth="1"/>
    <col min="3596" max="3600" width="8" style="58" customWidth="1"/>
    <col min="3601" max="3840" width="9.109375" style="58" hidden="1"/>
    <col min="3841" max="3841" width="6.88671875" style="58" customWidth="1"/>
    <col min="3842" max="3842" width="23.33203125" style="58" customWidth="1"/>
    <col min="3843" max="3843" width="42.88671875" style="58" customWidth="1"/>
    <col min="3844" max="3844" width="14" style="58" customWidth="1"/>
    <col min="3845" max="3845" width="14.109375" style="58" customWidth="1"/>
    <col min="3846" max="3846" width="13" style="58" customWidth="1"/>
    <col min="3847" max="3847" width="14" style="58" customWidth="1"/>
    <col min="3848" max="3848" width="15" style="58" customWidth="1"/>
    <col min="3849" max="3849" width="15.21875" style="58" customWidth="1"/>
    <col min="3850" max="3850" width="1.88671875" style="58" customWidth="1"/>
    <col min="3851" max="3851" width="10.5546875" style="58" customWidth="1"/>
    <col min="3852" max="3856" width="8" style="58" customWidth="1"/>
    <col min="3857" max="4096" width="9.109375" style="58" hidden="1"/>
    <col min="4097" max="4097" width="6.88671875" style="58" customWidth="1"/>
    <col min="4098" max="4098" width="23.33203125" style="58" customWidth="1"/>
    <col min="4099" max="4099" width="42.88671875" style="58" customWidth="1"/>
    <col min="4100" max="4100" width="14" style="58" customWidth="1"/>
    <col min="4101" max="4101" width="14.109375" style="58" customWidth="1"/>
    <col min="4102" max="4102" width="13" style="58" customWidth="1"/>
    <col min="4103" max="4103" width="14" style="58" customWidth="1"/>
    <col min="4104" max="4104" width="15" style="58" customWidth="1"/>
    <col min="4105" max="4105" width="15.21875" style="58" customWidth="1"/>
    <col min="4106" max="4106" width="1.88671875" style="58" customWidth="1"/>
    <col min="4107" max="4107" width="10.5546875" style="58" customWidth="1"/>
    <col min="4108" max="4112" width="8" style="58" customWidth="1"/>
    <col min="4113" max="4352" width="9.109375" style="58" hidden="1"/>
    <col min="4353" max="4353" width="6.88671875" style="58" customWidth="1"/>
    <col min="4354" max="4354" width="23.33203125" style="58" customWidth="1"/>
    <col min="4355" max="4355" width="42.88671875" style="58" customWidth="1"/>
    <col min="4356" max="4356" width="14" style="58" customWidth="1"/>
    <col min="4357" max="4357" width="14.109375" style="58" customWidth="1"/>
    <col min="4358" max="4358" width="13" style="58" customWidth="1"/>
    <col min="4359" max="4359" width="14" style="58" customWidth="1"/>
    <col min="4360" max="4360" width="15" style="58" customWidth="1"/>
    <col min="4361" max="4361" width="15.21875" style="58" customWidth="1"/>
    <col min="4362" max="4362" width="1.88671875" style="58" customWidth="1"/>
    <col min="4363" max="4363" width="10.5546875" style="58" customWidth="1"/>
    <col min="4364" max="4368" width="8" style="58" customWidth="1"/>
    <col min="4369" max="4608" width="9.109375" style="58" hidden="1"/>
    <col min="4609" max="4609" width="6.88671875" style="58" customWidth="1"/>
    <col min="4610" max="4610" width="23.33203125" style="58" customWidth="1"/>
    <col min="4611" max="4611" width="42.88671875" style="58" customWidth="1"/>
    <col min="4612" max="4612" width="14" style="58" customWidth="1"/>
    <col min="4613" max="4613" width="14.109375" style="58" customWidth="1"/>
    <col min="4614" max="4614" width="13" style="58" customWidth="1"/>
    <col min="4615" max="4615" width="14" style="58" customWidth="1"/>
    <col min="4616" max="4616" width="15" style="58" customWidth="1"/>
    <col min="4617" max="4617" width="15.21875" style="58" customWidth="1"/>
    <col min="4618" max="4618" width="1.88671875" style="58" customWidth="1"/>
    <col min="4619" max="4619" width="10.5546875" style="58" customWidth="1"/>
    <col min="4620" max="4624" width="8" style="58" customWidth="1"/>
    <col min="4625" max="4864" width="9.109375" style="58" hidden="1"/>
    <col min="4865" max="4865" width="6.88671875" style="58" customWidth="1"/>
    <col min="4866" max="4866" width="23.33203125" style="58" customWidth="1"/>
    <col min="4867" max="4867" width="42.88671875" style="58" customWidth="1"/>
    <col min="4868" max="4868" width="14" style="58" customWidth="1"/>
    <col min="4869" max="4869" width="14.109375" style="58" customWidth="1"/>
    <col min="4870" max="4870" width="13" style="58" customWidth="1"/>
    <col min="4871" max="4871" width="14" style="58" customWidth="1"/>
    <col min="4872" max="4872" width="15" style="58" customWidth="1"/>
    <col min="4873" max="4873" width="15.21875" style="58" customWidth="1"/>
    <col min="4874" max="4874" width="1.88671875" style="58" customWidth="1"/>
    <col min="4875" max="4875" width="10.5546875" style="58" customWidth="1"/>
    <col min="4876" max="4880" width="8" style="58" customWidth="1"/>
    <col min="4881" max="5120" width="9.109375" style="58" hidden="1"/>
    <col min="5121" max="5121" width="6.88671875" style="58" customWidth="1"/>
    <col min="5122" max="5122" width="23.33203125" style="58" customWidth="1"/>
    <col min="5123" max="5123" width="42.88671875" style="58" customWidth="1"/>
    <col min="5124" max="5124" width="14" style="58" customWidth="1"/>
    <col min="5125" max="5125" width="14.109375" style="58" customWidth="1"/>
    <col min="5126" max="5126" width="13" style="58" customWidth="1"/>
    <col min="5127" max="5127" width="14" style="58" customWidth="1"/>
    <col min="5128" max="5128" width="15" style="58" customWidth="1"/>
    <col min="5129" max="5129" width="15.21875" style="58" customWidth="1"/>
    <col min="5130" max="5130" width="1.88671875" style="58" customWidth="1"/>
    <col min="5131" max="5131" width="10.5546875" style="58" customWidth="1"/>
    <col min="5132" max="5136" width="8" style="58" customWidth="1"/>
    <col min="5137" max="5376" width="9.109375" style="58" hidden="1"/>
    <col min="5377" max="5377" width="6.88671875" style="58" customWidth="1"/>
    <col min="5378" max="5378" width="23.33203125" style="58" customWidth="1"/>
    <col min="5379" max="5379" width="42.88671875" style="58" customWidth="1"/>
    <col min="5380" max="5380" width="14" style="58" customWidth="1"/>
    <col min="5381" max="5381" width="14.109375" style="58" customWidth="1"/>
    <col min="5382" max="5382" width="13" style="58" customWidth="1"/>
    <col min="5383" max="5383" width="14" style="58" customWidth="1"/>
    <col min="5384" max="5384" width="15" style="58" customWidth="1"/>
    <col min="5385" max="5385" width="15.21875" style="58" customWidth="1"/>
    <col min="5386" max="5386" width="1.88671875" style="58" customWidth="1"/>
    <col min="5387" max="5387" width="10.5546875" style="58" customWidth="1"/>
    <col min="5388" max="5392" width="8" style="58" customWidth="1"/>
    <col min="5393" max="5632" width="9.109375" style="58" hidden="1"/>
    <col min="5633" max="5633" width="6.88671875" style="58" customWidth="1"/>
    <col min="5634" max="5634" width="23.33203125" style="58" customWidth="1"/>
    <col min="5635" max="5635" width="42.88671875" style="58" customWidth="1"/>
    <col min="5636" max="5636" width="14" style="58" customWidth="1"/>
    <col min="5637" max="5637" width="14.109375" style="58" customWidth="1"/>
    <col min="5638" max="5638" width="13" style="58" customWidth="1"/>
    <col min="5639" max="5639" width="14" style="58" customWidth="1"/>
    <col min="5640" max="5640" width="15" style="58" customWidth="1"/>
    <col min="5641" max="5641" width="15.21875" style="58" customWidth="1"/>
    <col min="5642" max="5642" width="1.88671875" style="58" customWidth="1"/>
    <col min="5643" max="5643" width="10.5546875" style="58" customWidth="1"/>
    <col min="5644" max="5648" width="8" style="58" customWidth="1"/>
    <col min="5649" max="5888" width="9.109375" style="58" hidden="1"/>
    <col min="5889" max="5889" width="6.88671875" style="58" customWidth="1"/>
    <col min="5890" max="5890" width="23.33203125" style="58" customWidth="1"/>
    <col min="5891" max="5891" width="42.88671875" style="58" customWidth="1"/>
    <col min="5892" max="5892" width="14" style="58" customWidth="1"/>
    <col min="5893" max="5893" width="14.109375" style="58" customWidth="1"/>
    <col min="5894" max="5894" width="13" style="58" customWidth="1"/>
    <col min="5895" max="5895" width="14" style="58" customWidth="1"/>
    <col min="5896" max="5896" width="15" style="58" customWidth="1"/>
    <col min="5897" max="5897" width="15.21875" style="58" customWidth="1"/>
    <col min="5898" max="5898" width="1.88671875" style="58" customWidth="1"/>
    <col min="5899" max="5899" width="10.5546875" style="58" customWidth="1"/>
    <col min="5900" max="5904" width="8" style="58" customWidth="1"/>
    <col min="5905" max="6144" width="9.109375" style="58" hidden="1"/>
    <col min="6145" max="6145" width="6.88671875" style="58" customWidth="1"/>
    <col min="6146" max="6146" width="23.33203125" style="58" customWidth="1"/>
    <col min="6147" max="6147" width="42.88671875" style="58" customWidth="1"/>
    <col min="6148" max="6148" width="14" style="58" customWidth="1"/>
    <col min="6149" max="6149" width="14.109375" style="58" customWidth="1"/>
    <col min="6150" max="6150" width="13" style="58" customWidth="1"/>
    <col min="6151" max="6151" width="14" style="58" customWidth="1"/>
    <col min="6152" max="6152" width="15" style="58" customWidth="1"/>
    <col min="6153" max="6153" width="15.21875" style="58" customWidth="1"/>
    <col min="6154" max="6154" width="1.88671875" style="58" customWidth="1"/>
    <col min="6155" max="6155" width="10.5546875" style="58" customWidth="1"/>
    <col min="6156" max="6160" width="8" style="58" customWidth="1"/>
    <col min="6161" max="6400" width="9.109375" style="58" hidden="1"/>
    <col min="6401" max="6401" width="6.88671875" style="58" customWidth="1"/>
    <col min="6402" max="6402" width="23.33203125" style="58" customWidth="1"/>
    <col min="6403" max="6403" width="42.88671875" style="58" customWidth="1"/>
    <col min="6404" max="6404" width="14" style="58" customWidth="1"/>
    <col min="6405" max="6405" width="14.109375" style="58" customWidth="1"/>
    <col min="6406" max="6406" width="13" style="58" customWidth="1"/>
    <col min="6407" max="6407" width="14" style="58" customWidth="1"/>
    <col min="6408" max="6408" width="15" style="58" customWidth="1"/>
    <col min="6409" max="6409" width="15.21875" style="58" customWidth="1"/>
    <col min="6410" max="6410" width="1.88671875" style="58" customWidth="1"/>
    <col min="6411" max="6411" width="10.5546875" style="58" customWidth="1"/>
    <col min="6412" max="6416" width="8" style="58" customWidth="1"/>
    <col min="6417" max="6656" width="9.109375" style="58" hidden="1"/>
    <col min="6657" max="6657" width="6.88671875" style="58" customWidth="1"/>
    <col min="6658" max="6658" width="23.33203125" style="58" customWidth="1"/>
    <col min="6659" max="6659" width="42.88671875" style="58" customWidth="1"/>
    <col min="6660" max="6660" width="14" style="58" customWidth="1"/>
    <col min="6661" max="6661" width="14.109375" style="58" customWidth="1"/>
    <col min="6662" max="6662" width="13" style="58" customWidth="1"/>
    <col min="6663" max="6663" width="14" style="58" customWidth="1"/>
    <col min="6664" max="6664" width="15" style="58" customWidth="1"/>
    <col min="6665" max="6665" width="15.21875" style="58" customWidth="1"/>
    <col min="6666" max="6666" width="1.88671875" style="58" customWidth="1"/>
    <col min="6667" max="6667" width="10.5546875" style="58" customWidth="1"/>
    <col min="6668" max="6672" width="8" style="58" customWidth="1"/>
    <col min="6673" max="6912" width="9.109375" style="58" hidden="1"/>
    <col min="6913" max="6913" width="6.88671875" style="58" customWidth="1"/>
    <col min="6914" max="6914" width="23.33203125" style="58" customWidth="1"/>
    <col min="6915" max="6915" width="42.88671875" style="58" customWidth="1"/>
    <col min="6916" max="6916" width="14" style="58" customWidth="1"/>
    <col min="6917" max="6917" width="14.109375" style="58" customWidth="1"/>
    <col min="6918" max="6918" width="13" style="58" customWidth="1"/>
    <col min="6919" max="6919" width="14" style="58" customWidth="1"/>
    <col min="6920" max="6920" width="15" style="58" customWidth="1"/>
    <col min="6921" max="6921" width="15.21875" style="58" customWidth="1"/>
    <col min="6922" max="6922" width="1.88671875" style="58" customWidth="1"/>
    <col min="6923" max="6923" width="10.5546875" style="58" customWidth="1"/>
    <col min="6924" max="6928" width="8" style="58" customWidth="1"/>
    <col min="6929" max="7168" width="9.109375" style="58" hidden="1"/>
    <col min="7169" max="7169" width="6.88671875" style="58" customWidth="1"/>
    <col min="7170" max="7170" width="23.33203125" style="58" customWidth="1"/>
    <col min="7171" max="7171" width="42.88671875" style="58" customWidth="1"/>
    <col min="7172" max="7172" width="14" style="58" customWidth="1"/>
    <col min="7173" max="7173" width="14.109375" style="58" customWidth="1"/>
    <col min="7174" max="7174" width="13" style="58" customWidth="1"/>
    <col min="7175" max="7175" width="14" style="58" customWidth="1"/>
    <col min="7176" max="7176" width="15" style="58" customWidth="1"/>
    <col min="7177" max="7177" width="15.21875" style="58" customWidth="1"/>
    <col min="7178" max="7178" width="1.88671875" style="58" customWidth="1"/>
    <col min="7179" max="7179" width="10.5546875" style="58" customWidth="1"/>
    <col min="7180" max="7184" width="8" style="58" customWidth="1"/>
    <col min="7185" max="7424" width="9.109375" style="58" hidden="1"/>
    <col min="7425" max="7425" width="6.88671875" style="58" customWidth="1"/>
    <col min="7426" max="7426" width="23.33203125" style="58" customWidth="1"/>
    <col min="7427" max="7427" width="42.88671875" style="58" customWidth="1"/>
    <col min="7428" max="7428" width="14" style="58" customWidth="1"/>
    <col min="7429" max="7429" width="14.109375" style="58" customWidth="1"/>
    <col min="7430" max="7430" width="13" style="58" customWidth="1"/>
    <col min="7431" max="7431" width="14" style="58" customWidth="1"/>
    <col min="7432" max="7432" width="15" style="58" customWidth="1"/>
    <col min="7433" max="7433" width="15.21875" style="58" customWidth="1"/>
    <col min="7434" max="7434" width="1.88671875" style="58" customWidth="1"/>
    <col min="7435" max="7435" width="10.5546875" style="58" customWidth="1"/>
    <col min="7436" max="7440" width="8" style="58" customWidth="1"/>
    <col min="7441" max="7680" width="9.109375" style="58" hidden="1"/>
    <col min="7681" max="7681" width="6.88671875" style="58" customWidth="1"/>
    <col min="7682" max="7682" width="23.33203125" style="58" customWidth="1"/>
    <col min="7683" max="7683" width="42.88671875" style="58" customWidth="1"/>
    <col min="7684" max="7684" width="14" style="58" customWidth="1"/>
    <col min="7685" max="7685" width="14.109375" style="58" customWidth="1"/>
    <col min="7686" max="7686" width="13" style="58" customWidth="1"/>
    <col min="7687" max="7687" width="14" style="58" customWidth="1"/>
    <col min="7688" max="7688" width="15" style="58" customWidth="1"/>
    <col min="7689" max="7689" width="15.21875" style="58" customWidth="1"/>
    <col min="7690" max="7690" width="1.88671875" style="58" customWidth="1"/>
    <col min="7691" max="7691" width="10.5546875" style="58" customWidth="1"/>
    <col min="7692" max="7696" width="8" style="58" customWidth="1"/>
    <col min="7697" max="7936" width="9.109375" style="58" hidden="1"/>
    <col min="7937" max="7937" width="6.88671875" style="58" customWidth="1"/>
    <col min="7938" max="7938" width="23.33203125" style="58" customWidth="1"/>
    <col min="7939" max="7939" width="42.88671875" style="58" customWidth="1"/>
    <col min="7940" max="7940" width="14" style="58" customWidth="1"/>
    <col min="7941" max="7941" width="14.109375" style="58" customWidth="1"/>
    <col min="7942" max="7942" width="13" style="58" customWidth="1"/>
    <col min="7943" max="7943" width="14" style="58" customWidth="1"/>
    <col min="7944" max="7944" width="15" style="58" customWidth="1"/>
    <col min="7945" max="7945" width="15.21875" style="58" customWidth="1"/>
    <col min="7946" max="7946" width="1.88671875" style="58" customWidth="1"/>
    <col min="7947" max="7947" width="10.5546875" style="58" customWidth="1"/>
    <col min="7948" max="7952" width="8" style="58" customWidth="1"/>
    <col min="7953" max="8192" width="9.109375" style="58" hidden="1"/>
    <col min="8193" max="8193" width="6.88671875" style="58" customWidth="1"/>
    <col min="8194" max="8194" width="23.33203125" style="58" customWidth="1"/>
    <col min="8195" max="8195" width="42.88671875" style="58" customWidth="1"/>
    <col min="8196" max="8196" width="14" style="58" customWidth="1"/>
    <col min="8197" max="8197" width="14.109375" style="58" customWidth="1"/>
    <col min="8198" max="8198" width="13" style="58" customWidth="1"/>
    <col min="8199" max="8199" width="14" style="58" customWidth="1"/>
    <col min="8200" max="8200" width="15" style="58" customWidth="1"/>
    <col min="8201" max="8201" width="15.21875" style="58" customWidth="1"/>
    <col min="8202" max="8202" width="1.88671875" style="58" customWidth="1"/>
    <col min="8203" max="8203" width="10.5546875" style="58" customWidth="1"/>
    <col min="8204" max="8208" width="8" style="58" customWidth="1"/>
    <col min="8209" max="8448" width="9.109375" style="58" hidden="1"/>
    <col min="8449" max="8449" width="6.88671875" style="58" customWidth="1"/>
    <col min="8450" max="8450" width="23.33203125" style="58" customWidth="1"/>
    <col min="8451" max="8451" width="42.88671875" style="58" customWidth="1"/>
    <col min="8452" max="8452" width="14" style="58" customWidth="1"/>
    <col min="8453" max="8453" width="14.109375" style="58" customWidth="1"/>
    <col min="8454" max="8454" width="13" style="58" customWidth="1"/>
    <col min="8455" max="8455" width="14" style="58" customWidth="1"/>
    <col min="8456" max="8456" width="15" style="58" customWidth="1"/>
    <col min="8457" max="8457" width="15.21875" style="58" customWidth="1"/>
    <col min="8458" max="8458" width="1.88671875" style="58" customWidth="1"/>
    <col min="8459" max="8459" width="10.5546875" style="58" customWidth="1"/>
    <col min="8460" max="8464" width="8" style="58" customWidth="1"/>
    <col min="8465" max="8704" width="9.109375" style="58" hidden="1"/>
    <col min="8705" max="8705" width="6.88671875" style="58" customWidth="1"/>
    <col min="8706" max="8706" width="23.33203125" style="58" customWidth="1"/>
    <col min="8707" max="8707" width="42.88671875" style="58" customWidth="1"/>
    <col min="8708" max="8708" width="14" style="58" customWidth="1"/>
    <col min="8709" max="8709" width="14.109375" style="58" customWidth="1"/>
    <col min="8710" max="8710" width="13" style="58" customWidth="1"/>
    <col min="8711" max="8711" width="14" style="58" customWidth="1"/>
    <col min="8712" max="8712" width="15" style="58" customWidth="1"/>
    <col min="8713" max="8713" width="15.21875" style="58" customWidth="1"/>
    <col min="8714" max="8714" width="1.88671875" style="58" customWidth="1"/>
    <col min="8715" max="8715" width="10.5546875" style="58" customWidth="1"/>
    <col min="8716" max="8720" width="8" style="58" customWidth="1"/>
    <col min="8721" max="8960" width="9.109375" style="58" hidden="1"/>
    <col min="8961" max="8961" width="6.88671875" style="58" customWidth="1"/>
    <col min="8962" max="8962" width="23.33203125" style="58" customWidth="1"/>
    <col min="8963" max="8963" width="42.88671875" style="58" customWidth="1"/>
    <col min="8964" max="8964" width="14" style="58" customWidth="1"/>
    <col min="8965" max="8965" width="14.109375" style="58" customWidth="1"/>
    <col min="8966" max="8966" width="13" style="58" customWidth="1"/>
    <col min="8967" max="8967" width="14" style="58" customWidth="1"/>
    <col min="8968" max="8968" width="15" style="58" customWidth="1"/>
    <col min="8969" max="8969" width="15.21875" style="58" customWidth="1"/>
    <col min="8970" max="8970" width="1.88671875" style="58" customWidth="1"/>
    <col min="8971" max="8971" width="10.5546875" style="58" customWidth="1"/>
    <col min="8972" max="8976" width="8" style="58" customWidth="1"/>
    <col min="8977" max="9216" width="9.109375" style="58" hidden="1"/>
    <col min="9217" max="9217" width="6.88671875" style="58" customWidth="1"/>
    <col min="9218" max="9218" width="23.33203125" style="58" customWidth="1"/>
    <col min="9219" max="9219" width="42.88671875" style="58" customWidth="1"/>
    <col min="9220" max="9220" width="14" style="58" customWidth="1"/>
    <col min="9221" max="9221" width="14.109375" style="58" customWidth="1"/>
    <col min="9222" max="9222" width="13" style="58" customWidth="1"/>
    <col min="9223" max="9223" width="14" style="58" customWidth="1"/>
    <col min="9224" max="9224" width="15" style="58" customWidth="1"/>
    <col min="9225" max="9225" width="15.21875" style="58" customWidth="1"/>
    <col min="9226" max="9226" width="1.88671875" style="58" customWidth="1"/>
    <col min="9227" max="9227" width="10.5546875" style="58" customWidth="1"/>
    <col min="9228" max="9232" width="8" style="58" customWidth="1"/>
    <col min="9233" max="9472" width="9.109375" style="58" hidden="1"/>
    <col min="9473" max="9473" width="6.88671875" style="58" customWidth="1"/>
    <col min="9474" max="9474" width="23.33203125" style="58" customWidth="1"/>
    <col min="9475" max="9475" width="42.88671875" style="58" customWidth="1"/>
    <col min="9476" max="9476" width="14" style="58" customWidth="1"/>
    <col min="9477" max="9477" width="14.109375" style="58" customWidth="1"/>
    <col min="9478" max="9478" width="13" style="58" customWidth="1"/>
    <col min="9479" max="9479" width="14" style="58" customWidth="1"/>
    <col min="9480" max="9480" width="15" style="58" customWidth="1"/>
    <col min="9481" max="9481" width="15.21875" style="58" customWidth="1"/>
    <col min="9482" max="9482" width="1.88671875" style="58" customWidth="1"/>
    <col min="9483" max="9483" width="10.5546875" style="58" customWidth="1"/>
    <col min="9484" max="9488" width="8" style="58" customWidth="1"/>
    <col min="9489" max="9728" width="9.109375" style="58" hidden="1"/>
    <col min="9729" max="9729" width="6.88671875" style="58" customWidth="1"/>
    <col min="9730" max="9730" width="23.33203125" style="58" customWidth="1"/>
    <col min="9731" max="9731" width="42.88671875" style="58" customWidth="1"/>
    <col min="9732" max="9732" width="14" style="58" customWidth="1"/>
    <col min="9733" max="9733" width="14.109375" style="58" customWidth="1"/>
    <col min="9734" max="9734" width="13" style="58" customWidth="1"/>
    <col min="9735" max="9735" width="14" style="58" customWidth="1"/>
    <col min="9736" max="9736" width="15" style="58" customWidth="1"/>
    <col min="9737" max="9737" width="15.21875" style="58" customWidth="1"/>
    <col min="9738" max="9738" width="1.88671875" style="58" customWidth="1"/>
    <col min="9739" max="9739" width="10.5546875" style="58" customWidth="1"/>
    <col min="9740" max="9744" width="8" style="58" customWidth="1"/>
    <col min="9745" max="9984" width="9.109375" style="58" hidden="1"/>
    <col min="9985" max="9985" width="6.88671875" style="58" customWidth="1"/>
    <col min="9986" max="9986" width="23.33203125" style="58" customWidth="1"/>
    <col min="9987" max="9987" width="42.88671875" style="58" customWidth="1"/>
    <col min="9988" max="9988" width="14" style="58" customWidth="1"/>
    <col min="9989" max="9989" width="14.109375" style="58" customWidth="1"/>
    <col min="9990" max="9990" width="13" style="58" customWidth="1"/>
    <col min="9991" max="9991" width="14" style="58" customWidth="1"/>
    <col min="9992" max="9992" width="15" style="58" customWidth="1"/>
    <col min="9993" max="9993" width="15.21875" style="58" customWidth="1"/>
    <col min="9994" max="9994" width="1.88671875" style="58" customWidth="1"/>
    <col min="9995" max="9995" width="10.5546875" style="58" customWidth="1"/>
    <col min="9996" max="10000" width="8" style="58" customWidth="1"/>
    <col min="10001" max="10240" width="9.109375" style="58" hidden="1"/>
    <col min="10241" max="10241" width="6.88671875" style="58" customWidth="1"/>
    <col min="10242" max="10242" width="23.33203125" style="58" customWidth="1"/>
    <col min="10243" max="10243" width="42.88671875" style="58" customWidth="1"/>
    <col min="10244" max="10244" width="14" style="58" customWidth="1"/>
    <col min="10245" max="10245" width="14.109375" style="58" customWidth="1"/>
    <col min="10246" max="10246" width="13" style="58" customWidth="1"/>
    <col min="10247" max="10247" width="14" style="58" customWidth="1"/>
    <col min="10248" max="10248" width="15" style="58" customWidth="1"/>
    <col min="10249" max="10249" width="15.21875" style="58" customWidth="1"/>
    <col min="10250" max="10250" width="1.88671875" style="58" customWidth="1"/>
    <col min="10251" max="10251" width="10.5546875" style="58" customWidth="1"/>
    <col min="10252" max="10256" width="8" style="58" customWidth="1"/>
    <col min="10257" max="10496" width="9.109375" style="58" hidden="1"/>
    <col min="10497" max="10497" width="6.88671875" style="58" customWidth="1"/>
    <col min="10498" max="10498" width="23.33203125" style="58" customWidth="1"/>
    <col min="10499" max="10499" width="42.88671875" style="58" customWidth="1"/>
    <col min="10500" max="10500" width="14" style="58" customWidth="1"/>
    <col min="10501" max="10501" width="14.109375" style="58" customWidth="1"/>
    <col min="10502" max="10502" width="13" style="58" customWidth="1"/>
    <col min="10503" max="10503" width="14" style="58" customWidth="1"/>
    <col min="10504" max="10504" width="15" style="58" customWidth="1"/>
    <col min="10505" max="10505" width="15.21875" style="58" customWidth="1"/>
    <col min="10506" max="10506" width="1.88671875" style="58" customWidth="1"/>
    <col min="10507" max="10507" width="10.5546875" style="58" customWidth="1"/>
    <col min="10508" max="10512" width="8" style="58" customWidth="1"/>
    <col min="10513" max="10752" width="9.109375" style="58" hidden="1"/>
    <col min="10753" max="10753" width="6.88671875" style="58" customWidth="1"/>
    <col min="10754" max="10754" width="23.33203125" style="58" customWidth="1"/>
    <col min="10755" max="10755" width="42.88671875" style="58" customWidth="1"/>
    <col min="10756" max="10756" width="14" style="58" customWidth="1"/>
    <col min="10757" max="10757" width="14.109375" style="58" customWidth="1"/>
    <col min="10758" max="10758" width="13" style="58" customWidth="1"/>
    <col min="10759" max="10759" width="14" style="58" customWidth="1"/>
    <col min="10760" max="10760" width="15" style="58" customWidth="1"/>
    <col min="10761" max="10761" width="15.21875" style="58" customWidth="1"/>
    <col min="10762" max="10762" width="1.88671875" style="58" customWidth="1"/>
    <col min="10763" max="10763" width="10.5546875" style="58" customWidth="1"/>
    <col min="10764" max="10768" width="8" style="58" customWidth="1"/>
    <col min="10769" max="11008" width="9.109375" style="58" hidden="1"/>
    <col min="11009" max="11009" width="6.88671875" style="58" customWidth="1"/>
    <col min="11010" max="11010" width="23.33203125" style="58" customWidth="1"/>
    <col min="11011" max="11011" width="42.88671875" style="58" customWidth="1"/>
    <col min="11012" max="11012" width="14" style="58" customWidth="1"/>
    <col min="11013" max="11013" width="14.109375" style="58" customWidth="1"/>
    <col min="11014" max="11014" width="13" style="58" customWidth="1"/>
    <col min="11015" max="11015" width="14" style="58" customWidth="1"/>
    <col min="11016" max="11016" width="15" style="58" customWidth="1"/>
    <col min="11017" max="11017" width="15.21875" style="58" customWidth="1"/>
    <col min="11018" max="11018" width="1.88671875" style="58" customWidth="1"/>
    <col min="11019" max="11019" width="10.5546875" style="58" customWidth="1"/>
    <col min="11020" max="11024" width="8" style="58" customWidth="1"/>
    <col min="11025" max="11264" width="9.109375" style="58" hidden="1"/>
    <col min="11265" max="11265" width="6.88671875" style="58" customWidth="1"/>
    <col min="11266" max="11266" width="23.33203125" style="58" customWidth="1"/>
    <col min="11267" max="11267" width="42.88671875" style="58" customWidth="1"/>
    <col min="11268" max="11268" width="14" style="58" customWidth="1"/>
    <col min="11269" max="11269" width="14.109375" style="58" customWidth="1"/>
    <col min="11270" max="11270" width="13" style="58" customWidth="1"/>
    <col min="11271" max="11271" width="14" style="58" customWidth="1"/>
    <col min="11272" max="11272" width="15" style="58" customWidth="1"/>
    <col min="11273" max="11273" width="15.21875" style="58" customWidth="1"/>
    <col min="11274" max="11274" width="1.88671875" style="58" customWidth="1"/>
    <col min="11275" max="11275" width="10.5546875" style="58" customWidth="1"/>
    <col min="11276" max="11280" width="8" style="58" customWidth="1"/>
    <col min="11281" max="11520" width="9.109375" style="58" hidden="1"/>
    <col min="11521" max="11521" width="6.88671875" style="58" customWidth="1"/>
    <col min="11522" max="11522" width="23.33203125" style="58" customWidth="1"/>
    <col min="11523" max="11523" width="42.88671875" style="58" customWidth="1"/>
    <col min="11524" max="11524" width="14" style="58" customWidth="1"/>
    <col min="11525" max="11525" width="14.109375" style="58" customWidth="1"/>
    <col min="11526" max="11526" width="13" style="58" customWidth="1"/>
    <col min="11527" max="11527" width="14" style="58" customWidth="1"/>
    <col min="11528" max="11528" width="15" style="58" customWidth="1"/>
    <col min="11529" max="11529" width="15.21875" style="58" customWidth="1"/>
    <col min="11530" max="11530" width="1.88671875" style="58" customWidth="1"/>
    <col min="11531" max="11531" width="10.5546875" style="58" customWidth="1"/>
    <col min="11532" max="11536" width="8" style="58" customWidth="1"/>
    <col min="11537" max="11776" width="9.109375" style="58" hidden="1"/>
    <col min="11777" max="11777" width="6.88671875" style="58" customWidth="1"/>
    <col min="11778" max="11778" width="23.33203125" style="58" customWidth="1"/>
    <col min="11779" max="11779" width="42.88671875" style="58" customWidth="1"/>
    <col min="11780" max="11780" width="14" style="58" customWidth="1"/>
    <col min="11781" max="11781" width="14.109375" style="58" customWidth="1"/>
    <col min="11782" max="11782" width="13" style="58" customWidth="1"/>
    <col min="11783" max="11783" width="14" style="58" customWidth="1"/>
    <col min="11784" max="11784" width="15" style="58" customWidth="1"/>
    <col min="11785" max="11785" width="15.21875" style="58" customWidth="1"/>
    <col min="11786" max="11786" width="1.88671875" style="58" customWidth="1"/>
    <col min="11787" max="11787" width="10.5546875" style="58" customWidth="1"/>
    <col min="11788" max="11792" width="8" style="58" customWidth="1"/>
    <col min="11793" max="12032" width="9.109375" style="58" hidden="1"/>
    <col min="12033" max="12033" width="6.88671875" style="58" customWidth="1"/>
    <col min="12034" max="12034" width="23.33203125" style="58" customWidth="1"/>
    <col min="12035" max="12035" width="42.88671875" style="58" customWidth="1"/>
    <col min="12036" max="12036" width="14" style="58" customWidth="1"/>
    <col min="12037" max="12037" width="14.109375" style="58" customWidth="1"/>
    <col min="12038" max="12038" width="13" style="58" customWidth="1"/>
    <col min="12039" max="12039" width="14" style="58" customWidth="1"/>
    <col min="12040" max="12040" width="15" style="58" customWidth="1"/>
    <col min="12041" max="12041" width="15.21875" style="58" customWidth="1"/>
    <col min="12042" max="12042" width="1.88671875" style="58" customWidth="1"/>
    <col min="12043" max="12043" width="10.5546875" style="58" customWidth="1"/>
    <col min="12044" max="12048" width="8" style="58" customWidth="1"/>
    <col min="12049" max="12288" width="9.109375" style="58" hidden="1"/>
    <col min="12289" max="12289" width="6.88671875" style="58" customWidth="1"/>
    <col min="12290" max="12290" width="23.33203125" style="58" customWidth="1"/>
    <col min="12291" max="12291" width="42.88671875" style="58" customWidth="1"/>
    <col min="12292" max="12292" width="14" style="58" customWidth="1"/>
    <col min="12293" max="12293" width="14.109375" style="58" customWidth="1"/>
    <col min="12294" max="12294" width="13" style="58" customWidth="1"/>
    <col min="12295" max="12295" width="14" style="58" customWidth="1"/>
    <col min="12296" max="12296" width="15" style="58" customWidth="1"/>
    <col min="12297" max="12297" width="15.21875" style="58" customWidth="1"/>
    <col min="12298" max="12298" width="1.88671875" style="58" customWidth="1"/>
    <col min="12299" max="12299" width="10.5546875" style="58" customWidth="1"/>
    <col min="12300" max="12304" width="8" style="58" customWidth="1"/>
    <col min="12305" max="12544" width="9.109375" style="58" hidden="1"/>
    <col min="12545" max="12545" width="6.88671875" style="58" customWidth="1"/>
    <col min="12546" max="12546" width="23.33203125" style="58" customWidth="1"/>
    <col min="12547" max="12547" width="42.88671875" style="58" customWidth="1"/>
    <col min="12548" max="12548" width="14" style="58" customWidth="1"/>
    <col min="12549" max="12549" width="14.109375" style="58" customWidth="1"/>
    <col min="12550" max="12550" width="13" style="58" customWidth="1"/>
    <col min="12551" max="12551" width="14" style="58" customWidth="1"/>
    <col min="12552" max="12552" width="15" style="58" customWidth="1"/>
    <col min="12553" max="12553" width="15.21875" style="58" customWidth="1"/>
    <col min="12554" max="12554" width="1.88671875" style="58" customWidth="1"/>
    <col min="12555" max="12555" width="10.5546875" style="58" customWidth="1"/>
    <col min="12556" max="12560" width="8" style="58" customWidth="1"/>
    <col min="12561" max="12800" width="9.109375" style="58" hidden="1"/>
    <col min="12801" max="12801" width="6.88671875" style="58" customWidth="1"/>
    <col min="12802" max="12802" width="23.33203125" style="58" customWidth="1"/>
    <col min="12803" max="12803" width="42.88671875" style="58" customWidth="1"/>
    <col min="12804" max="12804" width="14" style="58" customWidth="1"/>
    <col min="12805" max="12805" width="14.109375" style="58" customWidth="1"/>
    <col min="12806" max="12806" width="13" style="58" customWidth="1"/>
    <col min="12807" max="12807" width="14" style="58" customWidth="1"/>
    <col min="12808" max="12808" width="15" style="58" customWidth="1"/>
    <col min="12809" max="12809" width="15.21875" style="58" customWidth="1"/>
    <col min="12810" max="12810" width="1.88671875" style="58" customWidth="1"/>
    <col min="12811" max="12811" width="10.5546875" style="58" customWidth="1"/>
    <col min="12812" max="12816" width="8" style="58" customWidth="1"/>
    <col min="12817" max="13056" width="9.109375" style="58" hidden="1"/>
    <col min="13057" max="13057" width="6.88671875" style="58" customWidth="1"/>
    <col min="13058" max="13058" width="23.33203125" style="58" customWidth="1"/>
    <col min="13059" max="13059" width="42.88671875" style="58" customWidth="1"/>
    <col min="13060" max="13060" width="14" style="58" customWidth="1"/>
    <col min="13061" max="13061" width="14.109375" style="58" customWidth="1"/>
    <col min="13062" max="13062" width="13" style="58" customWidth="1"/>
    <col min="13063" max="13063" width="14" style="58" customWidth="1"/>
    <col min="13064" max="13064" width="15" style="58" customWidth="1"/>
    <col min="13065" max="13065" width="15.21875" style="58" customWidth="1"/>
    <col min="13066" max="13066" width="1.88671875" style="58" customWidth="1"/>
    <col min="13067" max="13067" width="10.5546875" style="58" customWidth="1"/>
    <col min="13068" max="13072" width="8" style="58" customWidth="1"/>
    <col min="13073" max="13312" width="9.109375" style="58" hidden="1"/>
    <col min="13313" max="13313" width="6.88671875" style="58" customWidth="1"/>
    <col min="13314" max="13314" width="23.33203125" style="58" customWidth="1"/>
    <col min="13315" max="13315" width="42.88671875" style="58" customWidth="1"/>
    <col min="13316" max="13316" width="14" style="58" customWidth="1"/>
    <col min="13317" max="13317" width="14.109375" style="58" customWidth="1"/>
    <col min="13318" max="13318" width="13" style="58" customWidth="1"/>
    <col min="13319" max="13319" width="14" style="58" customWidth="1"/>
    <col min="13320" max="13320" width="15" style="58" customWidth="1"/>
    <col min="13321" max="13321" width="15.21875" style="58" customWidth="1"/>
    <col min="13322" max="13322" width="1.88671875" style="58" customWidth="1"/>
    <col min="13323" max="13323" width="10.5546875" style="58" customWidth="1"/>
    <col min="13324" max="13328" width="8" style="58" customWidth="1"/>
    <col min="13329" max="13568" width="9.109375" style="58" hidden="1"/>
    <col min="13569" max="13569" width="6.88671875" style="58" customWidth="1"/>
    <col min="13570" max="13570" width="23.33203125" style="58" customWidth="1"/>
    <col min="13571" max="13571" width="42.88671875" style="58" customWidth="1"/>
    <col min="13572" max="13572" width="14" style="58" customWidth="1"/>
    <col min="13573" max="13573" width="14.109375" style="58" customWidth="1"/>
    <col min="13574" max="13574" width="13" style="58" customWidth="1"/>
    <col min="13575" max="13575" width="14" style="58" customWidth="1"/>
    <col min="13576" max="13576" width="15" style="58" customWidth="1"/>
    <col min="13577" max="13577" width="15.21875" style="58" customWidth="1"/>
    <col min="13578" max="13578" width="1.88671875" style="58" customWidth="1"/>
    <col min="13579" max="13579" width="10.5546875" style="58" customWidth="1"/>
    <col min="13580" max="13584" width="8" style="58" customWidth="1"/>
    <col min="13585" max="13824" width="9.109375" style="58" hidden="1"/>
    <col min="13825" max="13825" width="6.88671875" style="58" customWidth="1"/>
    <col min="13826" max="13826" width="23.33203125" style="58" customWidth="1"/>
    <col min="13827" max="13827" width="42.88671875" style="58" customWidth="1"/>
    <col min="13828" max="13828" width="14" style="58" customWidth="1"/>
    <col min="13829" max="13829" width="14.109375" style="58" customWidth="1"/>
    <col min="13830" max="13830" width="13" style="58" customWidth="1"/>
    <col min="13831" max="13831" width="14" style="58" customWidth="1"/>
    <col min="13832" max="13832" width="15" style="58" customWidth="1"/>
    <col min="13833" max="13833" width="15.21875" style="58" customWidth="1"/>
    <col min="13834" max="13834" width="1.88671875" style="58" customWidth="1"/>
    <col min="13835" max="13835" width="10.5546875" style="58" customWidth="1"/>
    <col min="13836" max="13840" width="8" style="58" customWidth="1"/>
    <col min="13841" max="14080" width="9.109375" style="58" hidden="1"/>
    <col min="14081" max="14081" width="6.88671875" style="58" customWidth="1"/>
    <col min="14082" max="14082" width="23.33203125" style="58" customWidth="1"/>
    <col min="14083" max="14083" width="42.88671875" style="58" customWidth="1"/>
    <col min="14084" max="14084" width="14" style="58" customWidth="1"/>
    <col min="14085" max="14085" width="14.109375" style="58" customWidth="1"/>
    <col min="14086" max="14086" width="13" style="58" customWidth="1"/>
    <col min="14087" max="14087" width="14" style="58" customWidth="1"/>
    <col min="14088" max="14088" width="15" style="58" customWidth="1"/>
    <col min="14089" max="14089" width="15.21875" style="58" customWidth="1"/>
    <col min="14090" max="14090" width="1.88671875" style="58" customWidth="1"/>
    <col min="14091" max="14091" width="10.5546875" style="58" customWidth="1"/>
    <col min="14092" max="14096" width="8" style="58" customWidth="1"/>
    <col min="14097" max="14336" width="9.109375" style="58" hidden="1"/>
    <col min="14337" max="14337" width="6.88671875" style="58" customWidth="1"/>
    <col min="14338" max="14338" width="23.33203125" style="58" customWidth="1"/>
    <col min="14339" max="14339" width="42.88671875" style="58" customWidth="1"/>
    <col min="14340" max="14340" width="14" style="58" customWidth="1"/>
    <col min="14341" max="14341" width="14.109375" style="58" customWidth="1"/>
    <col min="14342" max="14342" width="13" style="58" customWidth="1"/>
    <col min="14343" max="14343" width="14" style="58" customWidth="1"/>
    <col min="14344" max="14344" width="15" style="58" customWidth="1"/>
    <col min="14345" max="14345" width="15.21875" style="58" customWidth="1"/>
    <col min="14346" max="14346" width="1.88671875" style="58" customWidth="1"/>
    <col min="14347" max="14347" width="10.5546875" style="58" customWidth="1"/>
    <col min="14348" max="14352" width="8" style="58" customWidth="1"/>
    <col min="14353" max="14592" width="9.109375" style="58" hidden="1"/>
    <col min="14593" max="14593" width="6.88671875" style="58" customWidth="1"/>
    <col min="14594" max="14594" width="23.33203125" style="58" customWidth="1"/>
    <col min="14595" max="14595" width="42.88671875" style="58" customWidth="1"/>
    <col min="14596" max="14596" width="14" style="58" customWidth="1"/>
    <col min="14597" max="14597" width="14.109375" style="58" customWidth="1"/>
    <col min="14598" max="14598" width="13" style="58" customWidth="1"/>
    <col min="14599" max="14599" width="14" style="58" customWidth="1"/>
    <col min="14600" max="14600" width="15" style="58" customWidth="1"/>
    <col min="14601" max="14601" width="15.21875" style="58" customWidth="1"/>
    <col min="14602" max="14602" width="1.88671875" style="58" customWidth="1"/>
    <col min="14603" max="14603" width="10.5546875" style="58" customWidth="1"/>
    <col min="14604" max="14608" width="8" style="58" customWidth="1"/>
    <col min="14609" max="14848" width="9.109375" style="58" hidden="1"/>
    <col min="14849" max="14849" width="6.88671875" style="58" customWidth="1"/>
    <col min="14850" max="14850" width="23.33203125" style="58" customWidth="1"/>
    <col min="14851" max="14851" width="42.88671875" style="58" customWidth="1"/>
    <col min="14852" max="14852" width="14" style="58" customWidth="1"/>
    <col min="14853" max="14853" width="14.109375" style="58" customWidth="1"/>
    <col min="14854" max="14854" width="13" style="58" customWidth="1"/>
    <col min="14855" max="14855" width="14" style="58" customWidth="1"/>
    <col min="14856" max="14856" width="15" style="58" customWidth="1"/>
    <col min="14857" max="14857" width="15.21875" style="58" customWidth="1"/>
    <col min="14858" max="14858" width="1.88671875" style="58" customWidth="1"/>
    <col min="14859" max="14859" width="10.5546875" style="58" customWidth="1"/>
    <col min="14860" max="14864" width="8" style="58" customWidth="1"/>
    <col min="14865" max="15104" width="9.109375" style="58" hidden="1"/>
    <col min="15105" max="15105" width="6.88671875" style="58" customWidth="1"/>
    <col min="15106" max="15106" width="23.33203125" style="58" customWidth="1"/>
    <col min="15107" max="15107" width="42.88671875" style="58" customWidth="1"/>
    <col min="15108" max="15108" width="14" style="58" customWidth="1"/>
    <col min="15109" max="15109" width="14.109375" style="58" customWidth="1"/>
    <col min="15110" max="15110" width="13" style="58" customWidth="1"/>
    <col min="15111" max="15111" width="14" style="58" customWidth="1"/>
    <col min="15112" max="15112" width="15" style="58" customWidth="1"/>
    <col min="15113" max="15113" width="15.21875" style="58" customWidth="1"/>
    <col min="15114" max="15114" width="1.88671875" style="58" customWidth="1"/>
    <col min="15115" max="15115" width="10.5546875" style="58" customWidth="1"/>
    <col min="15116" max="15120" width="8" style="58" customWidth="1"/>
    <col min="15121" max="15360" width="9.109375" style="58" hidden="1"/>
    <col min="15361" max="15361" width="6.88671875" style="58" customWidth="1"/>
    <col min="15362" max="15362" width="23.33203125" style="58" customWidth="1"/>
    <col min="15363" max="15363" width="42.88671875" style="58" customWidth="1"/>
    <col min="15364" max="15364" width="14" style="58" customWidth="1"/>
    <col min="15365" max="15365" width="14.109375" style="58" customWidth="1"/>
    <col min="15366" max="15366" width="13" style="58" customWidth="1"/>
    <col min="15367" max="15367" width="14" style="58" customWidth="1"/>
    <col min="15368" max="15368" width="15" style="58" customWidth="1"/>
    <col min="15369" max="15369" width="15.21875" style="58" customWidth="1"/>
    <col min="15370" max="15370" width="1.88671875" style="58" customWidth="1"/>
    <col min="15371" max="15371" width="10.5546875" style="58" customWidth="1"/>
    <col min="15372" max="15376" width="8" style="58" customWidth="1"/>
    <col min="15377" max="15616" width="9.109375" style="58" hidden="1"/>
    <col min="15617" max="15617" width="6.88671875" style="58" customWidth="1"/>
    <col min="15618" max="15618" width="23.33203125" style="58" customWidth="1"/>
    <col min="15619" max="15619" width="42.88671875" style="58" customWidth="1"/>
    <col min="15620" max="15620" width="14" style="58" customWidth="1"/>
    <col min="15621" max="15621" width="14.109375" style="58" customWidth="1"/>
    <col min="15622" max="15622" width="13" style="58" customWidth="1"/>
    <col min="15623" max="15623" width="14" style="58" customWidth="1"/>
    <col min="15624" max="15624" width="15" style="58" customWidth="1"/>
    <col min="15625" max="15625" width="15.21875" style="58" customWidth="1"/>
    <col min="15626" max="15626" width="1.88671875" style="58" customWidth="1"/>
    <col min="15627" max="15627" width="10.5546875" style="58" customWidth="1"/>
    <col min="15628" max="15632" width="8" style="58" customWidth="1"/>
    <col min="15633" max="15872" width="9.109375" style="58" hidden="1"/>
    <col min="15873" max="15873" width="6.88671875" style="58" customWidth="1"/>
    <col min="15874" max="15874" width="23.33203125" style="58" customWidth="1"/>
    <col min="15875" max="15875" width="42.88671875" style="58" customWidth="1"/>
    <col min="15876" max="15876" width="14" style="58" customWidth="1"/>
    <col min="15877" max="15877" width="14.109375" style="58" customWidth="1"/>
    <col min="15878" max="15878" width="13" style="58" customWidth="1"/>
    <col min="15879" max="15879" width="14" style="58" customWidth="1"/>
    <col min="15880" max="15880" width="15" style="58" customWidth="1"/>
    <col min="15881" max="15881" width="15.21875" style="58" customWidth="1"/>
    <col min="15882" max="15882" width="1.88671875" style="58" customWidth="1"/>
    <col min="15883" max="15883" width="10.5546875" style="58" customWidth="1"/>
    <col min="15884" max="15888" width="8" style="58" customWidth="1"/>
    <col min="15889" max="16128" width="9.109375" style="58" hidden="1"/>
    <col min="16129" max="16129" width="6.88671875" style="58" customWidth="1"/>
    <col min="16130" max="16130" width="23.33203125" style="58" customWidth="1"/>
    <col min="16131" max="16131" width="42.88671875" style="58" customWidth="1"/>
    <col min="16132" max="16132" width="14" style="58" customWidth="1"/>
    <col min="16133" max="16133" width="14.109375" style="58" customWidth="1"/>
    <col min="16134" max="16134" width="13" style="58" customWidth="1"/>
    <col min="16135" max="16135" width="14" style="58" customWidth="1"/>
    <col min="16136" max="16136" width="15" style="58" customWidth="1"/>
    <col min="16137" max="16137" width="15.21875" style="58" customWidth="1"/>
    <col min="16138" max="16138" width="1.88671875" style="58" customWidth="1"/>
    <col min="16139" max="16139" width="10.5546875" style="58" customWidth="1"/>
    <col min="16140" max="16144" width="8" style="58" customWidth="1"/>
    <col min="16145" max="16149" width="0" style="58" hidden="1"/>
    <col min="16150" max="16384" width="9.109375" style="58" hidden="1"/>
  </cols>
  <sheetData>
    <row r="1" spans="1:265" s="818" customFormat="1" ht="22.8" customHeight="1">
      <c r="A1" s="362" t="s">
        <v>158</v>
      </c>
      <c r="B1" s="816"/>
      <c r="C1" s="816"/>
      <c r="D1" s="362"/>
      <c r="E1" s="817"/>
      <c r="F1" s="817"/>
      <c r="G1" s="817"/>
      <c r="H1" s="817"/>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c r="BG1" s="363"/>
      <c r="BH1" s="363"/>
      <c r="BI1" s="363"/>
      <c r="BJ1" s="363"/>
      <c r="BK1" s="363"/>
      <c r="BL1" s="363"/>
      <c r="BM1" s="363"/>
      <c r="BN1" s="363"/>
      <c r="BO1" s="363"/>
      <c r="BP1" s="363"/>
      <c r="BQ1" s="363"/>
      <c r="BR1" s="363"/>
      <c r="BS1" s="363"/>
      <c r="BT1" s="363"/>
      <c r="BU1" s="363"/>
      <c r="BV1" s="363"/>
      <c r="BW1" s="363"/>
      <c r="BX1" s="363"/>
      <c r="BY1" s="363"/>
      <c r="BZ1" s="363"/>
      <c r="CA1" s="363"/>
      <c r="CB1" s="363"/>
      <c r="CC1" s="363"/>
      <c r="CD1" s="363"/>
      <c r="CE1" s="363"/>
      <c r="CF1" s="363"/>
      <c r="CG1" s="363"/>
      <c r="CH1" s="363"/>
      <c r="CI1" s="363"/>
      <c r="CJ1" s="363"/>
      <c r="CK1" s="363"/>
      <c r="CL1" s="363"/>
      <c r="CM1" s="363"/>
      <c r="CN1" s="363"/>
      <c r="CO1" s="363"/>
      <c r="CP1" s="363"/>
      <c r="CQ1" s="363"/>
      <c r="CR1" s="363"/>
      <c r="CS1" s="363"/>
      <c r="CT1" s="363"/>
      <c r="CU1" s="363"/>
      <c r="CV1" s="363"/>
      <c r="CW1" s="363"/>
      <c r="CX1" s="363"/>
      <c r="CY1" s="363"/>
      <c r="CZ1" s="363"/>
      <c r="DA1" s="363"/>
      <c r="DB1" s="363"/>
      <c r="DC1" s="363"/>
      <c r="DD1" s="363"/>
      <c r="DE1" s="363"/>
      <c r="DF1" s="363"/>
      <c r="DG1" s="363"/>
      <c r="DH1" s="363"/>
      <c r="DI1" s="363"/>
      <c r="DJ1" s="363"/>
      <c r="DK1" s="363"/>
      <c r="DL1" s="363"/>
      <c r="DM1" s="363"/>
      <c r="DN1" s="363"/>
      <c r="DO1" s="363"/>
      <c r="DP1" s="363"/>
      <c r="DQ1" s="363"/>
      <c r="DR1" s="363"/>
      <c r="DS1" s="363"/>
      <c r="DT1" s="363"/>
      <c r="DU1" s="363"/>
      <c r="DV1" s="363"/>
      <c r="DW1" s="363"/>
      <c r="DX1" s="363"/>
      <c r="DY1" s="363"/>
      <c r="DZ1" s="363"/>
      <c r="EA1" s="363"/>
      <c r="EB1" s="363"/>
      <c r="EC1" s="363"/>
      <c r="ED1" s="363"/>
      <c r="EE1" s="363"/>
      <c r="EF1" s="363"/>
      <c r="EG1" s="363"/>
      <c r="EH1" s="363"/>
      <c r="EI1" s="363"/>
      <c r="EJ1" s="363"/>
      <c r="EK1" s="363"/>
      <c r="EL1" s="363"/>
      <c r="EM1" s="363"/>
      <c r="EN1" s="363"/>
      <c r="EO1" s="363"/>
      <c r="EP1" s="363"/>
      <c r="EQ1" s="363"/>
      <c r="ER1" s="363"/>
      <c r="ES1" s="363"/>
      <c r="ET1" s="363"/>
      <c r="EU1" s="363"/>
      <c r="EV1" s="363"/>
      <c r="EW1" s="363"/>
      <c r="EX1" s="363"/>
      <c r="EY1" s="363"/>
      <c r="EZ1" s="363"/>
      <c r="FA1" s="363"/>
      <c r="FB1" s="363"/>
      <c r="FC1" s="363"/>
      <c r="FD1" s="363"/>
      <c r="FE1" s="363"/>
      <c r="FF1" s="363"/>
      <c r="FG1" s="363"/>
      <c r="FH1" s="363"/>
      <c r="FI1" s="363"/>
      <c r="FJ1" s="363"/>
      <c r="FK1" s="363"/>
      <c r="FL1" s="363"/>
      <c r="FM1" s="363"/>
      <c r="FN1" s="363"/>
      <c r="FO1" s="363"/>
      <c r="FP1" s="363"/>
      <c r="FQ1" s="363"/>
      <c r="FR1" s="363"/>
      <c r="FS1" s="363"/>
      <c r="FT1" s="363"/>
      <c r="FU1" s="363"/>
      <c r="FV1" s="363"/>
      <c r="FW1" s="363"/>
      <c r="FX1" s="363"/>
      <c r="FY1" s="363"/>
      <c r="FZ1" s="363"/>
      <c r="GA1" s="363"/>
      <c r="GB1" s="363"/>
      <c r="GC1" s="363"/>
      <c r="GD1" s="363"/>
      <c r="GE1" s="363"/>
      <c r="GF1" s="363"/>
      <c r="GG1" s="363"/>
      <c r="GH1" s="363"/>
      <c r="GI1" s="363"/>
      <c r="GJ1" s="363"/>
      <c r="GK1" s="363"/>
      <c r="GL1" s="363"/>
      <c r="GM1" s="363"/>
      <c r="GN1" s="363"/>
      <c r="GO1" s="363"/>
      <c r="GP1" s="363"/>
      <c r="GQ1" s="363"/>
      <c r="GR1" s="363"/>
      <c r="GS1" s="363"/>
      <c r="GT1" s="363"/>
      <c r="GU1" s="363"/>
      <c r="GV1" s="363"/>
      <c r="GW1" s="363"/>
      <c r="GX1" s="363"/>
      <c r="GY1" s="363"/>
      <c r="GZ1" s="363"/>
      <c r="HA1" s="363"/>
      <c r="HB1" s="363"/>
      <c r="HC1" s="363"/>
      <c r="HD1" s="363"/>
      <c r="HE1" s="363"/>
      <c r="HF1" s="363"/>
      <c r="HG1" s="363"/>
      <c r="HH1" s="363"/>
      <c r="HI1" s="363"/>
      <c r="HJ1" s="363"/>
      <c r="HK1" s="363"/>
      <c r="HL1" s="363"/>
      <c r="HM1" s="363"/>
      <c r="HN1" s="363"/>
      <c r="HO1" s="363"/>
      <c r="HP1" s="363"/>
      <c r="HQ1" s="363"/>
      <c r="HR1" s="363"/>
      <c r="HS1" s="363"/>
      <c r="HT1" s="363"/>
      <c r="HU1" s="363"/>
      <c r="HV1" s="363"/>
      <c r="HW1" s="363"/>
      <c r="HX1" s="363"/>
      <c r="HY1" s="363"/>
      <c r="HZ1" s="363"/>
      <c r="IA1" s="363"/>
      <c r="IB1" s="363"/>
      <c r="IC1" s="363"/>
      <c r="ID1" s="363"/>
      <c r="IE1" s="363"/>
      <c r="IF1" s="363"/>
      <c r="IG1" s="363"/>
      <c r="IH1" s="363"/>
      <c r="II1" s="363"/>
      <c r="IJ1" s="363"/>
      <c r="IK1" s="363"/>
      <c r="IL1" s="363"/>
      <c r="IM1" s="363"/>
      <c r="IN1" s="363"/>
      <c r="IO1" s="363"/>
      <c r="IP1" s="363"/>
      <c r="IQ1" s="363"/>
      <c r="IR1" s="363"/>
      <c r="IS1" s="363"/>
      <c r="IT1" s="363"/>
      <c r="IU1" s="363"/>
      <c r="IV1" s="363"/>
      <c r="IW1" s="363"/>
      <c r="IX1" s="363"/>
      <c r="IY1" s="363"/>
      <c r="IZ1" s="363"/>
      <c r="JA1" s="363"/>
      <c r="JB1" s="363"/>
      <c r="JC1" s="363"/>
      <c r="JD1" s="363"/>
      <c r="JE1" s="363"/>
    </row>
    <row r="2" spans="1:265" s="818" customFormat="1" ht="22.8" customHeight="1">
      <c r="A2" s="362" t="s">
        <v>264</v>
      </c>
      <c r="B2" s="816"/>
      <c r="C2" s="816"/>
      <c r="D2" s="362"/>
      <c r="E2" s="817"/>
      <c r="F2" s="817"/>
      <c r="G2" s="817"/>
      <c r="H2" s="817"/>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C2" s="363"/>
      <c r="CD2" s="363"/>
      <c r="CE2" s="363"/>
      <c r="CF2" s="363"/>
      <c r="CG2" s="363"/>
      <c r="CH2" s="363"/>
      <c r="CI2" s="363"/>
      <c r="CJ2" s="363"/>
      <c r="CK2" s="363"/>
      <c r="CL2" s="363"/>
      <c r="CM2" s="363"/>
      <c r="CN2" s="363"/>
      <c r="CO2" s="363"/>
      <c r="CP2" s="363"/>
      <c r="CQ2" s="363"/>
      <c r="CR2" s="363"/>
      <c r="CS2" s="363"/>
      <c r="CT2" s="363"/>
      <c r="CU2" s="363"/>
      <c r="CV2" s="363"/>
      <c r="CW2" s="363"/>
      <c r="CX2" s="363"/>
      <c r="CY2" s="363"/>
      <c r="CZ2" s="363"/>
      <c r="DA2" s="363"/>
      <c r="DB2" s="363"/>
      <c r="DC2" s="363"/>
      <c r="DD2" s="363"/>
      <c r="DE2" s="363"/>
      <c r="DF2" s="363"/>
      <c r="DG2" s="363"/>
      <c r="DH2" s="363"/>
      <c r="DI2" s="363"/>
      <c r="DJ2" s="363"/>
      <c r="DK2" s="363"/>
      <c r="DL2" s="363"/>
      <c r="DM2" s="363"/>
      <c r="DN2" s="363"/>
      <c r="DO2" s="363"/>
      <c r="DP2" s="363"/>
      <c r="DQ2" s="363"/>
      <c r="DR2" s="363"/>
      <c r="DS2" s="363"/>
      <c r="DT2" s="363"/>
      <c r="DU2" s="363"/>
      <c r="DV2" s="363"/>
      <c r="DW2" s="363"/>
      <c r="DX2" s="363"/>
      <c r="DY2" s="363"/>
      <c r="DZ2" s="363"/>
      <c r="EA2" s="363"/>
      <c r="EB2" s="363"/>
      <c r="EC2" s="363"/>
      <c r="ED2" s="363"/>
      <c r="EE2" s="363"/>
      <c r="EF2" s="363"/>
      <c r="EG2" s="363"/>
      <c r="EH2" s="363"/>
      <c r="EI2" s="363"/>
      <c r="EJ2" s="363"/>
      <c r="EK2" s="363"/>
      <c r="EL2" s="363"/>
      <c r="EM2" s="363"/>
      <c r="EN2" s="363"/>
      <c r="EO2" s="363"/>
      <c r="EP2" s="363"/>
      <c r="EQ2" s="363"/>
      <c r="ER2" s="363"/>
      <c r="ES2" s="363"/>
      <c r="ET2" s="363"/>
      <c r="EU2" s="363"/>
      <c r="EV2" s="363"/>
      <c r="EW2" s="363"/>
      <c r="EX2" s="363"/>
      <c r="EY2" s="363"/>
      <c r="EZ2" s="363"/>
      <c r="FA2" s="363"/>
      <c r="FB2" s="363"/>
      <c r="FC2" s="363"/>
      <c r="FD2" s="363"/>
      <c r="FE2" s="363"/>
      <c r="FF2" s="363"/>
      <c r="FG2" s="363"/>
      <c r="FH2" s="363"/>
      <c r="FI2" s="363"/>
      <c r="FJ2" s="363"/>
      <c r="FK2" s="363"/>
      <c r="FL2" s="363"/>
      <c r="FM2" s="363"/>
      <c r="FN2" s="363"/>
      <c r="FO2" s="363"/>
      <c r="FP2" s="363"/>
      <c r="FQ2" s="363"/>
      <c r="FR2" s="363"/>
      <c r="FS2" s="363"/>
      <c r="FT2" s="363"/>
      <c r="FU2" s="363"/>
      <c r="FV2" s="363"/>
      <c r="FW2" s="363"/>
      <c r="FX2" s="363"/>
      <c r="FY2" s="363"/>
      <c r="FZ2" s="363"/>
      <c r="GA2" s="363"/>
      <c r="GB2" s="363"/>
      <c r="GC2" s="363"/>
      <c r="GD2" s="363"/>
      <c r="GE2" s="363"/>
      <c r="GF2" s="363"/>
      <c r="GG2" s="363"/>
      <c r="GH2" s="363"/>
      <c r="GI2" s="363"/>
      <c r="GJ2" s="363"/>
      <c r="GK2" s="363"/>
      <c r="GL2" s="363"/>
      <c r="GM2" s="363"/>
      <c r="GN2" s="363"/>
      <c r="GO2" s="363"/>
      <c r="GP2" s="363"/>
      <c r="GQ2" s="363"/>
      <c r="GR2" s="363"/>
      <c r="GS2" s="363"/>
      <c r="GT2" s="363"/>
      <c r="GU2" s="363"/>
      <c r="GV2" s="363"/>
      <c r="GW2" s="363"/>
      <c r="GX2" s="363"/>
      <c r="GY2" s="363"/>
      <c r="GZ2" s="363"/>
      <c r="HA2" s="363"/>
      <c r="HB2" s="363"/>
      <c r="HC2" s="363"/>
      <c r="HD2" s="363"/>
      <c r="HE2" s="363"/>
      <c r="HF2" s="363"/>
      <c r="HG2" s="363"/>
      <c r="HH2" s="363"/>
      <c r="HI2" s="363"/>
      <c r="HJ2" s="363"/>
      <c r="HK2" s="363"/>
      <c r="HL2" s="363"/>
      <c r="HM2" s="363"/>
      <c r="HN2" s="363"/>
      <c r="HO2" s="363"/>
      <c r="HP2" s="363"/>
      <c r="HQ2" s="363"/>
      <c r="HR2" s="363"/>
      <c r="HS2" s="363"/>
      <c r="HT2" s="363"/>
      <c r="HU2" s="363"/>
      <c r="HV2" s="363"/>
      <c r="HW2" s="363"/>
      <c r="HX2" s="363"/>
      <c r="HY2" s="363"/>
      <c r="HZ2" s="363"/>
      <c r="IA2" s="363"/>
      <c r="IB2" s="363"/>
      <c r="IC2" s="363"/>
      <c r="ID2" s="363"/>
      <c r="IE2" s="363"/>
      <c r="IF2" s="363"/>
      <c r="IG2" s="363"/>
      <c r="IH2" s="363"/>
      <c r="II2" s="363"/>
      <c r="IJ2" s="363"/>
      <c r="IK2" s="363"/>
      <c r="IL2" s="363"/>
      <c r="IM2" s="363"/>
      <c r="IN2" s="363"/>
      <c r="IO2" s="363"/>
      <c r="IP2" s="363"/>
      <c r="IQ2" s="363"/>
      <c r="IR2" s="363"/>
      <c r="IS2" s="363"/>
      <c r="IT2" s="363"/>
      <c r="IU2" s="363"/>
      <c r="IV2" s="363"/>
      <c r="IW2" s="363"/>
      <c r="IX2" s="363"/>
      <c r="IY2" s="363"/>
      <c r="IZ2" s="363"/>
      <c r="JA2" s="363"/>
      <c r="JB2" s="363"/>
      <c r="JC2" s="363"/>
      <c r="JD2" s="363"/>
      <c r="JE2" s="363"/>
    </row>
    <row r="3" spans="1:265" s="818" customFormat="1" ht="22.8" customHeight="1" thickBot="1">
      <c r="A3" s="363" t="s">
        <v>66</v>
      </c>
      <c r="B3" s="362"/>
      <c r="C3" s="363"/>
      <c r="D3" s="363"/>
      <c r="E3" s="364"/>
      <c r="F3" s="364"/>
      <c r="G3" s="159">
        <v>0.04</v>
      </c>
      <c r="H3" s="365"/>
      <c r="I3" s="819"/>
      <c r="J3" s="819"/>
      <c r="K3" s="819"/>
      <c r="L3" s="819"/>
      <c r="M3" s="820" t="s">
        <v>168</v>
      </c>
      <c r="N3" s="820"/>
      <c r="O3" s="820"/>
      <c r="P3" s="820"/>
      <c r="Q3" s="820"/>
      <c r="IX3" s="363"/>
      <c r="IY3" s="821" t="s">
        <v>185</v>
      </c>
      <c r="IZ3" s="363"/>
      <c r="JA3" s="363"/>
      <c r="JB3" s="363"/>
      <c r="JC3" s="363"/>
      <c r="JD3" s="363"/>
      <c r="JE3" s="363"/>
    </row>
    <row r="4" spans="1:265" s="45" customFormat="1" ht="30" customHeight="1" thickBot="1">
      <c r="A4" s="798" t="s">
        <v>0</v>
      </c>
      <c r="B4" s="445" t="s">
        <v>2</v>
      </c>
      <c r="C4" s="445" t="s">
        <v>6</v>
      </c>
      <c r="D4" s="445" t="s">
        <v>9</v>
      </c>
      <c r="E4" s="446" t="s">
        <v>26</v>
      </c>
      <c r="F4" s="447" t="s">
        <v>3</v>
      </c>
      <c r="G4" s="446" t="s">
        <v>29</v>
      </c>
      <c r="H4" s="448" t="s">
        <v>4</v>
      </c>
      <c r="I4" s="348"/>
      <c r="J4" s="356"/>
      <c r="K4" s="776"/>
      <c r="L4" s="776"/>
      <c r="M4" s="347" t="s">
        <v>169</v>
      </c>
      <c r="N4" s="347" t="s">
        <v>170</v>
      </c>
      <c r="O4" s="347" t="s">
        <v>171</v>
      </c>
      <c r="P4" s="347" t="s">
        <v>172</v>
      </c>
      <c r="Q4" s="347" t="s">
        <v>173</v>
      </c>
      <c r="IX4" s="386"/>
      <c r="IY4" s="353" t="s">
        <v>94</v>
      </c>
      <c r="IZ4" s="354" t="s">
        <v>183</v>
      </c>
      <c r="JA4" s="354" t="s">
        <v>184</v>
      </c>
      <c r="JB4" s="354" t="s">
        <v>186</v>
      </c>
      <c r="JC4" s="354" t="s">
        <v>187</v>
      </c>
      <c r="JD4" s="354" t="s">
        <v>188</v>
      </c>
      <c r="JE4" s="386"/>
    </row>
    <row r="5" spans="1:265" s="175" customFormat="1" ht="19.95" customHeight="1">
      <c r="A5" s="822">
        <v>1</v>
      </c>
      <c r="B5" s="823" t="s">
        <v>94</v>
      </c>
      <c r="C5" s="426" t="s">
        <v>70</v>
      </c>
      <c r="D5" s="427" t="s">
        <v>64</v>
      </c>
      <c r="E5" s="428">
        <f>COUNTIFS(Table1351452010[[#All],[Sales]],"คุณนิมิต จุ้ยอยู่ทอง",Table1351452010[[#All],[แบ่งจ่าย/งวด
(ตามปีสัญญา)]],"&gt;0")</f>
        <v>2</v>
      </c>
      <c r="F5" s="429">
        <f ca="1">SUMIF(Table1351452010[[#All],[Sales]],"คุณนิมิต จุ้ยอยู่ทอง",Table1351452010[[#Headers],[Total
รายการเบิก
คอมขาย
(1)]])</f>
        <v>6944.3600000000006</v>
      </c>
      <c r="G5" s="430">
        <f ca="1">F5*G3</f>
        <v>277.77440000000001</v>
      </c>
      <c r="H5" s="431">
        <f ca="1">F5-G5</f>
        <v>6666.5856000000003</v>
      </c>
      <c r="I5" s="468" t="s">
        <v>190</v>
      </c>
      <c r="J5" s="357"/>
      <c r="K5" s="356"/>
      <c r="L5" s="356"/>
      <c r="M5" s="349">
        <f>IZ5+JA5+JB5+JC5+JD5</f>
        <v>0</v>
      </c>
      <c r="N5" s="349">
        <f>1140.48/2</f>
        <v>570.24</v>
      </c>
      <c r="O5" s="351"/>
      <c r="P5" s="350"/>
      <c r="Q5" s="351"/>
      <c r="IX5" s="361"/>
      <c r="IY5" s="346" t="s">
        <v>70</v>
      </c>
      <c r="IZ5" s="346"/>
      <c r="JA5" s="346"/>
      <c r="JB5" s="346"/>
      <c r="JC5" s="346"/>
      <c r="JD5" s="346"/>
      <c r="JE5" s="361"/>
    </row>
    <row r="6" spans="1:265" s="175" customFormat="1" ht="19.95" customHeight="1">
      <c r="A6" s="824"/>
      <c r="B6" s="334"/>
      <c r="C6" s="328" t="s">
        <v>71</v>
      </c>
      <c r="D6" s="176"/>
      <c r="E6" s="432">
        <f>COUNTIFS(Table1351452010[[#All],[Sales]],"คุณธวัช มีแสง",Table1351452010[[#All],[แบ่งจ่าย/งวด
(ตามปีสัญญา)]],"&gt;0")</f>
        <v>0</v>
      </c>
      <c r="F6" s="433">
        <f ca="1">SUMIF(Table1351452010[[#All],[Sales]],"คุณธวัช มีแสง",Table1351452010[[#Headers],[Total
รายการเบิก
คอมขาย
(1)]])</f>
        <v>0</v>
      </c>
      <c r="G6" s="434">
        <f ca="1">F6*$G$3</f>
        <v>0</v>
      </c>
      <c r="H6" s="435">
        <f ca="1">F6-G6</f>
        <v>0</v>
      </c>
      <c r="I6" s="358"/>
      <c r="J6" s="358"/>
      <c r="K6" s="357"/>
      <c r="L6" s="357"/>
      <c r="M6" s="351"/>
      <c r="N6" s="352"/>
      <c r="O6" s="351"/>
      <c r="P6" s="351"/>
      <c r="Q6" s="351"/>
      <c r="IX6" s="361"/>
      <c r="IY6" s="346" t="s">
        <v>71</v>
      </c>
      <c r="IZ6" s="346"/>
      <c r="JA6" s="346"/>
      <c r="JB6" s="346"/>
      <c r="JC6" s="346"/>
      <c r="JD6" s="346"/>
      <c r="JE6" s="361"/>
    </row>
    <row r="7" spans="1:265" s="175" customFormat="1" ht="19.95" customHeight="1">
      <c r="A7" s="824"/>
      <c r="B7" s="334"/>
      <c r="C7" s="328" t="s">
        <v>73</v>
      </c>
      <c r="D7" s="176"/>
      <c r="E7" s="432">
        <f>COUNTIFS(Table1351452010[[#All],[Sales]],"คุณนิยนต์ อยู่ทะเล",Table1351452010[[#All],[แบ่งจ่าย/งวด
(ตามปีสัญญา)]],"&gt;0")</f>
        <v>0</v>
      </c>
      <c r="F7" s="433">
        <f ca="1">SUMIF(Table1351452010[[#All],[Sales]],"คุณนิยนต์ อยู่ทะเล",Table1351452010[[#Headers],[Total
รายการเบิก
คอมขาย
(1)]])</f>
        <v>0</v>
      </c>
      <c r="G7" s="434">
        <f t="shared" ref="G7:G15" ca="1" si="0">F7*$G$3</f>
        <v>0</v>
      </c>
      <c r="H7" s="435">
        <f t="shared" ref="H7:H15" ca="1" si="1">F7-G7</f>
        <v>0</v>
      </c>
      <c r="I7" s="358"/>
      <c r="J7" s="358"/>
      <c r="K7" s="358"/>
      <c r="L7" s="358"/>
      <c r="M7" s="351"/>
      <c r="N7" s="352"/>
      <c r="O7" s="351"/>
      <c r="P7" s="351"/>
      <c r="Q7" s="351"/>
      <c r="IX7" s="361"/>
      <c r="IY7" s="346" t="s">
        <v>73</v>
      </c>
      <c r="IZ7" s="346"/>
      <c r="JA7" s="346"/>
      <c r="JB7" s="346"/>
      <c r="JC7" s="346"/>
      <c r="JD7" s="346"/>
      <c r="JE7" s="361"/>
    </row>
    <row r="8" spans="1:265" s="175" customFormat="1" ht="19.95" customHeight="1">
      <c r="A8" s="824"/>
      <c r="B8" s="334"/>
      <c r="C8" s="328" t="s">
        <v>74</v>
      </c>
      <c r="D8" s="176"/>
      <c r="E8" s="432">
        <f>COUNTIFS(Table1351452010[[#All],[Sales]],"คุณจินตนา อ้อยหวาน",Table1351452010[[#All],[แบ่งจ่าย/งวด
(ตามปีสัญญา)]],"&gt;0")</f>
        <v>0</v>
      </c>
      <c r="F8" s="433">
        <f ca="1">SUMIF(Table1351452010[[#All],[Sales]],"คุณจินตนา อ้อยหวาน",Table1351452010[[#Headers],[Total
รายการเบิก
คอมขาย
(1)]])</f>
        <v>0</v>
      </c>
      <c r="G8" s="434">
        <f t="shared" ca="1" si="0"/>
        <v>0</v>
      </c>
      <c r="H8" s="435">
        <f t="shared" ca="1" si="1"/>
        <v>0</v>
      </c>
      <c r="I8" s="358"/>
      <c r="J8" s="358"/>
      <c r="K8" s="358"/>
      <c r="L8" s="358"/>
      <c r="M8" s="351"/>
      <c r="N8" s="352"/>
      <c r="O8" s="351"/>
      <c r="P8" s="351"/>
      <c r="Q8" s="351"/>
      <c r="IX8" s="361"/>
      <c r="IY8" s="346" t="s">
        <v>74</v>
      </c>
      <c r="IZ8" s="346"/>
      <c r="JA8" s="346"/>
      <c r="JB8" s="346"/>
      <c r="JC8" s="346"/>
      <c r="JD8" s="346"/>
      <c r="JE8" s="361"/>
    </row>
    <row r="9" spans="1:265" s="175" customFormat="1" ht="19.95" customHeight="1">
      <c r="A9" s="824"/>
      <c r="B9" s="334"/>
      <c r="C9" s="328" t="s">
        <v>75</v>
      </c>
      <c r="D9" s="176"/>
      <c r="E9" s="432">
        <v>2</v>
      </c>
      <c r="F9" s="433">
        <f>2522.97+2417.07</f>
        <v>4940.04</v>
      </c>
      <c r="G9" s="434">
        <f t="shared" si="0"/>
        <v>197.60159999999999</v>
      </c>
      <c r="H9" s="435">
        <f t="shared" si="1"/>
        <v>4742.4384</v>
      </c>
      <c r="I9" s="358"/>
      <c r="J9" s="358"/>
      <c r="K9" s="750"/>
      <c r="L9" s="358"/>
      <c r="M9" s="351"/>
      <c r="N9" s="352"/>
      <c r="O9" s="351"/>
      <c r="P9" s="351"/>
      <c r="Q9" s="351"/>
      <c r="IX9" s="361"/>
      <c r="IY9" s="346" t="s">
        <v>75</v>
      </c>
      <c r="IZ9" s="346"/>
      <c r="JA9" s="346"/>
      <c r="JB9" s="346"/>
      <c r="JC9" s="346"/>
      <c r="JD9" s="346"/>
      <c r="JE9" s="361"/>
    </row>
    <row r="10" spans="1:265" s="175" customFormat="1" ht="19.95" customHeight="1">
      <c r="A10" s="824"/>
      <c r="B10" s="334"/>
      <c r="C10" s="328" t="s">
        <v>154</v>
      </c>
      <c r="D10" s="176"/>
      <c r="E10" s="432">
        <f>COUNTIFS(Table1351452010[[#All],[Sales]],"คุณนรินทร์ ปิงมูล",Table1351452010[[#All],[แบ่งจ่าย/งวด
(ตามปีสัญญา)]],"&gt;0")</f>
        <v>0</v>
      </c>
      <c r="F10" s="433">
        <f ca="1">SUMIF(Table1351452010[[#All],[Sales]],"คุณนรินทร์ ปิงมูล",Table1351452010[[#Headers],[Total
รายการเบิก
คอมขาย
(1)]])</f>
        <v>0</v>
      </c>
      <c r="G10" s="434">
        <f t="shared" ca="1" si="0"/>
        <v>0</v>
      </c>
      <c r="H10" s="435">
        <f t="shared" ca="1" si="1"/>
        <v>0</v>
      </c>
      <c r="I10" s="358"/>
      <c r="J10" s="358"/>
      <c r="K10" s="356"/>
      <c r="L10" s="356"/>
      <c r="M10" s="351"/>
      <c r="N10" s="352"/>
      <c r="O10" s="351"/>
      <c r="P10" s="351"/>
      <c r="Q10" s="351"/>
      <c r="IX10" s="361"/>
      <c r="IY10" s="346" t="s">
        <v>154</v>
      </c>
      <c r="IZ10" s="346"/>
      <c r="JA10" s="346"/>
      <c r="JB10" s="346"/>
      <c r="JC10" s="346"/>
      <c r="JD10" s="346"/>
      <c r="JE10" s="361"/>
    </row>
    <row r="11" spans="1:265" s="175" customFormat="1" ht="19.95" customHeight="1">
      <c r="A11" s="824"/>
      <c r="B11" s="334"/>
      <c r="C11" s="328" t="s">
        <v>130</v>
      </c>
      <c r="D11" s="176"/>
      <c r="E11" s="432">
        <f>COUNTIFS(Table1351452010[[#All],[Sales]],"คุณชนัฐฎา สนคะมี",Table1351452010[[#All],[แบ่งจ่าย/งวด
(ตามปีสัญญา)]],"&gt;0")</f>
        <v>0</v>
      </c>
      <c r="F11" s="433">
        <f ca="1">SUMIF(Table1351452010[[#All],[Sales]],"คุณชนัฐฎา สนคะมี",Table1351452010[[#Headers],[Total
รายการเบิก
คอมขาย
(1)]])</f>
        <v>12125</v>
      </c>
      <c r="G11" s="434">
        <f t="shared" ca="1" si="0"/>
        <v>485</v>
      </c>
      <c r="H11" s="435">
        <f t="shared" ca="1" si="1"/>
        <v>11640</v>
      </c>
      <c r="I11" s="358"/>
      <c r="J11" s="358"/>
      <c r="K11" s="357"/>
      <c r="L11" s="357"/>
      <c r="M11" s="351"/>
      <c r="N11" s="352"/>
      <c r="O11" s="351"/>
      <c r="P11" s="351"/>
      <c r="Q11" s="351"/>
      <c r="IX11" s="361"/>
      <c r="IY11" s="346" t="s">
        <v>130</v>
      </c>
      <c r="IZ11" s="346"/>
      <c r="JA11" s="346"/>
      <c r="JB11" s="346"/>
      <c r="JC11" s="346"/>
      <c r="JD11" s="346"/>
      <c r="JE11" s="361"/>
    </row>
    <row r="12" spans="1:265" s="175" customFormat="1" ht="19.95" customHeight="1">
      <c r="A12" s="824"/>
      <c r="B12" s="334"/>
      <c r="C12" s="328" t="s">
        <v>153</v>
      </c>
      <c r="D12" s="176"/>
      <c r="E12" s="432">
        <f>COUNTIFS(Table1351452010[[#All],[Sales]],"คุณจิรภิญญา เป็นปึก",Table1351452010[[#All],[แบ่งจ่าย/งวด
(ตามปีสัญญา)]],"&gt;0")</f>
        <v>0</v>
      </c>
      <c r="F12" s="433">
        <f ca="1">SUMIF(Table1351452010[[#All],[Sales]],"คุณจิรภิญญา เป็นปึก",Table1351452010[[#Headers],[Total
รายการเบิก
คอมขาย
(1)]])</f>
        <v>0</v>
      </c>
      <c r="G12" s="434">
        <f t="shared" ca="1" si="0"/>
        <v>0</v>
      </c>
      <c r="H12" s="435">
        <f t="shared" ca="1" si="1"/>
        <v>0</v>
      </c>
      <c r="I12" s="358"/>
      <c r="J12" s="358"/>
      <c r="K12" s="358"/>
      <c r="L12" s="358"/>
      <c r="M12" s="351"/>
      <c r="N12" s="352"/>
      <c r="O12" s="351"/>
      <c r="P12" s="351"/>
      <c r="Q12" s="351"/>
      <c r="IX12" s="361"/>
      <c r="IY12" s="346" t="s">
        <v>153</v>
      </c>
      <c r="IZ12" s="346"/>
      <c r="JA12" s="346"/>
      <c r="JB12" s="346"/>
      <c r="JC12" s="346"/>
      <c r="JD12" s="346"/>
      <c r="JE12" s="361"/>
    </row>
    <row r="13" spans="1:265" s="175" customFormat="1" ht="19.95" customHeight="1">
      <c r="A13" s="824"/>
      <c r="B13" s="334"/>
      <c r="C13" s="328" t="s">
        <v>72</v>
      </c>
      <c r="D13" s="176"/>
      <c r="E13" s="432">
        <f>COUNTIFS(Table1351452010[[#All],[Sales]],"คุณแดง มูลสองแคว",Table1351452010[[#All],[แบ่งจ่าย/งวด
(ตามปีสัญญา)]],"&gt;0")</f>
        <v>0</v>
      </c>
      <c r="F13" s="433">
        <f ca="1">SUMIF(Table1351452010[[#All],[Sales]],"คุณแดง มูลสองแคว",Table1351452010[[#Headers],[Total
รายการเบิก
คอมขาย
(1)]])</f>
        <v>0</v>
      </c>
      <c r="G13" s="434">
        <f t="shared" ca="1" si="0"/>
        <v>0</v>
      </c>
      <c r="H13" s="435">
        <f t="shared" ca="1" si="1"/>
        <v>0</v>
      </c>
      <c r="I13" s="358"/>
      <c r="J13" s="358"/>
      <c r="K13" s="358"/>
      <c r="L13" s="358"/>
      <c r="M13" s="351"/>
      <c r="N13" s="352"/>
      <c r="O13" s="351"/>
      <c r="P13" s="351"/>
      <c r="Q13" s="351"/>
      <c r="IX13" s="361"/>
      <c r="IY13" s="346" t="s">
        <v>72</v>
      </c>
      <c r="IZ13" s="346"/>
      <c r="JA13" s="346"/>
      <c r="JB13" s="346"/>
      <c r="JC13" s="346"/>
      <c r="JD13" s="346"/>
      <c r="JE13" s="361"/>
    </row>
    <row r="14" spans="1:265" s="175" customFormat="1" ht="19.95" customHeight="1">
      <c r="A14" s="824"/>
      <c r="B14" s="334"/>
      <c r="C14" s="328" t="s">
        <v>68</v>
      </c>
      <c r="D14" s="176"/>
      <c r="E14" s="432">
        <f>COUNTIFS(Table1351452010[[#All],[Sales]],"คุณศศินาถ จุ้ยอยู่ทอง",Table1351452010[[#All],[แบ่งจ่าย/งวด
(ตามปีสัญญา)]],"&gt;0")</f>
        <v>0</v>
      </c>
      <c r="F14" s="433">
        <f ca="1">SUMIF(Table1351452010[[#All],[Sales]],"คุณศศินาถ จุ้ยอยู่ทอง",Table1351452010[[#Headers],[Total
รายการเบิก
คอมขาย
(1)]])</f>
        <v>0</v>
      </c>
      <c r="G14" s="434">
        <f t="shared" ca="1" si="0"/>
        <v>0</v>
      </c>
      <c r="H14" s="435">
        <f t="shared" ca="1" si="1"/>
        <v>0</v>
      </c>
      <c r="I14" s="358"/>
      <c r="J14" s="358"/>
      <c r="K14" s="358"/>
      <c r="L14" s="358"/>
      <c r="M14" s="351"/>
      <c r="N14" s="352"/>
      <c r="O14" s="351"/>
      <c r="P14" s="351"/>
      <c r="Q14" s="351"/>
      <c r="IX14" s="361"/>
      <c r="IY14" s="346" t="s">
        <v>68</v>
      </c>
      <c r="IZ14" s="346"/>
      <c r="JA14" s="346"/>
      <c r="JB14" s="346"/>
      <c r="JC14" s="346"/>
      <c r="JD14" s="346"/>
      <c r="JE14" s="361"/>
    </row>
    <row r="15" spans="1:265" s="175" customFormat="1" ht="19.95" customHeight="1">
      <c r="A15" s="824"/>
      <c r="B15" s="334"/>
      <c r="C15" s="328" t="s">
        <v>67</v>
      </c>
      <c r="D15" s="176"/>
      <c r="E15" s="432">
        <f>COUNTIFS(Table1351452010[[#All],[Sales]],"คุณรุ่งอรุณ อินบุญรอด",Table1351452010[[#All],[แบ่งจ่าย/งวด
(ตามปีสัญญา)]],"&gt;0")</f>
        <v>1</v>
      </c>
      <c r="F15" s="433">
        <v>1584</v>
      </c>
      <c r="G15" s="434">
        <f t="shared" si="0"/>
        <v>63.36</v>
      </c>
      <c r="H15" s="435">
        <f t="shared" si="1"/>
        <v>1520.64</v>
      </c>
      <c r="I15" s="358"/>
      <c r="J15" s="358"/>
      <c r="K15" s="358"/>
      <c r="L15" s="358"/>
      <c r="M15" s="351">
        <f>2280.96/2</f>
        <v>1140.48</v>
      </c>
      <c r="N15" s="351">
        <f>2280.96/2</f>
        <v>1140.48</v>
      </c>
      <c r="O15" s="351"/>
      <c r="P15" s="351"/>
      <c r="Q15" s="351"/>
      <c r="IX15" s="361"/>
      <c r="IY15" s="346" t="s">
        <v>67</v>
      </c>
      <c r="IZ15" s="346"/>
      <c r="JA15" s="346"/>
      <c r="JB15" s="346"/>
      <c r="JC15" s="346"/>
      <c r="JD15" s="346"/>
      <c r="JE15" s="361"/>
    </row>
    <row r="16" spans="1:265" s="175" customFormat="1" ht="19.95" customHeight="1">
      <c r="A16" s="824"/>
      <c r="B16" s="334"/>
      <c r="C16" s="328" t="s">
        <v>69</v>
      </c>
      <c r="D16" s="176"/>
      <c r="E16" s="432">
        <f>COUNTIFS(Table1351452010[[#All],[Sales]],"คุณธัญลักษณ์ หมื่นหลุบกุง",Table1351452010[[#All],[แบ่งจ่าย/งวด
(ตามปีสัญญา)]],"&gt;0")</f>
        <v>0</v>
      </c>
      <c r="F16" s="433">
        <f ca="1">SUMIF(Table1351452010[[#All],[Sales]],"คุณธัญลักษณ์ หมื่นหลุบกุง",Table1351452010[[#Headers],[Total
รายการเบิก
คอมขาย
(1)]])</f>
        <v>0</v>
      </c>
      <c r="G16" s="434">
        <f ca="1">F16*$G$3</f>
        <v>0</v>
      </c>
      <c r="H16" s="436">
        <f ca="1">F16-G16</f>
        <v>0</v>
      </c>
      <c r="I16" s="358"/>
      <c r="J16" s="358"/>
      <c r="K16" s="358"/>
      <c r="L16" s="358"/>
      <c r="M16" s="349"/>
      <c r="N16" s="352"/>
      <c r="O16" s="351"/>
      <c r="P16" s="351"/>
      <c r="Q16" s="351"/>
      <c r="IX16" s="361"/>
      <c r="IY16" s="346" t="s">
        <v>69</v>
      </c>
      <c r="IZ16" s="346"/>
      <c r="JA16" s="346"/>
      <c r="JB16" s="346"/>
      <c r="JC16" s="346"/>
      <c r="JD16" s="346"/>
      <c r="JE16" s="361"/>
    </row>
    <row r="17" spans="1:265" s="175" customFormat="1" ht="19.95" customHeight="1">
      <c r="A17" s="824"/>
      <c r="B17" s="334"/>
      <c r="C17" s="328" t="s">
        <v>90</v>
      </c>
      <c r="D17" s="176"/>
      <c r="E17" s="432">
        <f>COUNTIFS(Table1351452010[[#All],[Sales]],"คุณณรงศ์ศักย์ เหล่ารัตนเวช",Table1351452010[[#All],[แบ่งจ่าย/งวด
(ตามปีสัญญา)]],"&gt;0")</f>
        <v>0</v>
      </c>
      <c r="F17" s="433">
        <f ca="1">SUMIF(Table1351452010[[#All],[Sales]],"คุณณรงศ์ศักย์ เหล่ารัตนเวช",Table1351452010[[#Headers],[Total
รายการเบิก
คอมขาย
(1)]])</f>
        <v>0</v>
      </c>
      <c r="G17" s="434">
        <f ca="1">F17*$G$3</f>
        <v>0</v>
      </c>
      <c r="H17" s="436">
        <f ca="1">F17-G17</f>
        <v>0</v>
      </c>
      <c r="I17" s="358"/>
      <c r="J17" s="358"/>
      <c r="K17" s="358"/>
      <c r="L17" s="358"/>
      <c r="M17" s="349"/>
      <c r="N17" s="352"/>
      <c r="O17" s="351"/>
      <c r="P17" s="351"/>
      <c r="Q17" s="351"/>
      <c r="IX17" s="361"/>
      <c r="IY17" s="346" t="s">
        <v>90</v>
      </c>
      <c r="IZ17" s="346"/>
      <c r="JA17" s="346"/>
      <c r="JB17" s="346"/>
      <c r="JC17" s="346"/>
      <c r="JD17" s="346"/>
      <c r="JE17" s="361"/>
    </row>
    <row r="18" spans="1:265" s="175" customFormat="1" ht="19.95" customHeight="1" thickBot="1">
      <c r="A18" s="437"/>
      <c r="B18" s="438"/>
      <c r="C18" s="439" t="s">
        <v>21</v>
      </c>
      <c r="D18" s="440"/>
      <c r="E18" s="441">
        <f>COUNTIFS(Table1351452010[[#All],[Sales]],"คุณจันทราภรณ์ สุภาพวนิช",Table1351452010[[#All],[แบ่งจ่าย/งวด
(ตามปีสัญญา)]],"&gt;0")</f>
        <v>0</v>
      </c>
      <c r="F18" s="442">
        <v>5886.93</v>
      </c>
      <c r="G18" s="443">
        <f>F18*$G$3</f>
        <v>235.47720000000001</v>
      </c>
      <c r="H18" s="444">
        <f>F18-G18</f>
        <v>5651.4528</v>
      </c>
      <c r="I18" s="358"/>
      <c r="J18" s="358"/>
      <c r="K18" s="358"/>
      <c r="L18" s="358"/>
      <c r="M18" s="349"/>
      <c r="N18" s="352"/>
      <c r="O18" s="351"/>
      <c r="P18" s="351"/>
      <c r="Q18" s="351"/>
      <c r="IX18" s="361"/>
      <c r="IY18" s="346" t="s">
        <v>21</v>
      </c>
      <c r="IZ18" s="346"/>
      <c r="JA18" s="346"/>
      <c r="JB18" s="346"/>
      <c r="JC18" s="346"/>
      <c r="JD18" s="346"/>
      <c r="JE18" s="361"/>
    </row>
    <row r="19" spans="1:265" s="177" customFormat="1" ht="19.95" customHeight="1">
      <c r="A19" s="449">
        <v>2</v>
      </c>
      <c r="B19" s="450" t="s">
        <v>143</v>
      </c>
      <c r="C19" s="426" t="s">
        <v>70</v>
      </c>
      <c r="D19" s="829" t="s">
        <v>148</v>
      </c>
      <c r="E19" s="451">
        <f>COUNTIFS(Table1351452010[[#All],[Sales]],"คุณนิมิต จุ้ยอยู่ทอง",Table1351452010[[#All],[ค่าเชื่อมสัญญาณ/
ค่าติดตั้ง/
ค่าขายอุปกรณ์]],"&gt;1")</f>
        <v>0</v>
      </c>
      <c r="F19" s="452">
        <f>SUMIF(Table1351452010[[#All],[Sales]],"คุณนิมิต จุ้ยอยู่ทอง",Table1351452010[[#All],[Total
ค่าเชื่มสัญญาณ/ค่าติดตั้ง/
ค่าขายอุปกรณ์
(2)]])</f>
        <v>0</v>
      </c>
      <c r="G19" s="430">
        <v>0</v>
      </c>
      <c r="H19" s="431">
        <f>F19-G19</f>
        <v>0</v>
      </c>
      <c r="I19" s="797" t="s">
        <v>189</v>
      </c>
      <c r="J19" s="359"/>
      <c r="K19" s="358"/>
      <c r="L19" s="358"/>
      <c r="M19" s="381"/>
      <c r="N19" s="361"/>
      <c r="O19" s="383"/>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1"/>
      <c r="AT19" s="361"/>
      <c r="AU19" s="361"/>
      <c r="AV19" s="361"/>
      <c r="AW19" s="361"/>
      <c r="AX19" s="361"/>
      <c r="AY19" s="361"/>
      <c r="AZ19" s="361"/>
      <c r="BA19" s="361"/>
      <c r="BB19" s="361"/>
      <c r="BC19" s="361"/>
      <c r="BD19" s="361"/>
      <c r="BE19" s="361"/>
      <c r="BF19" s="361"/>
      <c r="BG19" s="361"/>
      <c r="BH19" s="361"/>
      <c r="BI19" s="361"/>
      <c r="BJ19" s="361"/>
      <c r="BK19" s="361"/>
      <c r="BL19" s="361"/>
      <c r="BM19" s="361"/>
      <c r="BN19" s="361"/>
      <c r="BO19" s="361"/>
      <c r="BP19" s="361"/>
      <c r="BQ19" s="361"/>
      <c r="BR19" s="361"/>
      <c r="BS19" s="361"/>
      <c r="BT19" s="361"/>
      <c r="BU19" s="361"/>
      <c r="BV19" s="361"/>
      <c r="BW19" s="361"/>
      <c r="BX19" s="361"/>
      <c r="BY19" s="361"/>
      <c r="BZ19" s="361"/>
      <c r="CA19" s="361"/>
      <c r="CB19" s="361"/>
      <c r="CC19" s="361"/>
      <c r="CD19" s="361"/>
      <c r="CE19" s="361"/>
      <c r="CF19" s="361"/>
      <c r="CG19" s="361"/>
      <c r="CH19" s="361"/>
      <c r="CI19" s="361"/>
      <c r="CJ19" s="361"/>
      <c r="CK19" s="361"/>
      <c r="CL19" s="361"/>
      <c r="CM19" s="361"/>
      <c r="CN19" s="361"/>
      <c r="CO19" s="361"/>
      <c r="CP19" s="361"/>
      <c r="CQ19" s="361"/>
      <c r="CR19" s="361"/>
      <c r="CS19" s="361"/>
      <c r="CT19" s="361"/>
      <c r="CU19" s="361"/>
      <c r="CV19" s="361"/>
      <c r="CW19" s="361"/>
      <c r="CX19" s="361"/>
      <c r="CY19" s="361"/>
      <c r="CZ19" s="361"/>
      <c r="DA19" s="361"/>
      <c r="DB19" s="361"/>
      <c r="DC19" s="361"/>
      <c r="DD19" s="361"/>
      <c r="DE19" s="361"/>
      <c r="DF19" s="361"/>
      <c r="DG19" s="361"/>
      <c r="DH19" s="361"/>
      <c r="DI19" s="361"/>
      <c r="DJ19" s="361"/>
      <c r="DK19" s="361"/>
      <c r="DL19" s="361"/>
      <c r="DM19" s="361"/>
      <c r="DN19" s="361"/>
      <c r="DO19" s="361"/>
      <c r="DP19" s="361"/>
      <c r="DQ19" s="361"/>
      <c r="DR19" s="361"/>
      <c r="DS19" s="361"/>
      <c r="DT19" s="361"/>
      <c r="DU19" s="361"/>
      <c r="DV19" s="361"/>
      <c r="DW19" s="361"/>
      <c r="DX19" s="361"/>
      <c r="DY19" s="361"/>
      <c r="DZ19" s="361"/>
      <c r="EA19" s="361"/>
      <c r="EB19" s="361"/>
      <c r="EC19" s="361"/>
      <c r="ED19" s="361"/>
      <c r="EE19" s="361"/>
      <c r="EF19" s="361"/>
      <c r="EG19" s="361"/>
      <c r="EH19" s="361"/>
      <c r="EI19" s="361"/>
      <c r="EJ19" s="361"/>
      <c r="EK19" s="361"/>
      <c r="EL19" s="361"/>
      <c r="EM19" s="361"/>
      <c r="EN19" s="361"/>
      <c r="EO19" s="361"/>
      <c r="EP19" s="361"/>
      <c r="EQ19" s="361"/>
      <c r="ER19" s="361"/>
      <c r="ES19" s="361"/>
      <c r="ET19" s="361"/>
      <c r="EU19" s="361"/>
      <c r="EV19" s="361"/>
      <c r="EW19" s="361"/>
      <c r="EX19" s="361"/>
      <c r="EY19" s="361"/>
      <c r="EZ19" s="361"/>
      <c r="FA19" s="361"/>
      <c r="FB19" s="361"/>
      <c r="FC19" s="361"/>
      <c r="FD19" s="361"/>
      <c r="FE19" s="361"/>
      <c r="FF19" s="361"/>
      <c r="FG19" s="361"/>
      <c r="FH19" s="361"/>
      <c r="FI19" s="361"/>
      <c r="FJ19" s="361"/>
      <c r="FK19" s="361"/>
      <c r="FL19" s="361"/>
      <c r="FM19" s="361"/>
      <c r="FN19" s="361"/>
      <c r="FO19" s="361"/>
      <c r="FP19" s="361"/>
      <c r="FQ19" s="361"/>
      <c r="FR19" s="361"/>
      <c r="FS19" s="361"/>
      <c r="FT19" s="361"/>
      <c r="FU19" s="361"/>
      <c r="FV19" s="361"/>
      <c r="FW19" s="361"/>
      <c r="FX19" s="361"/>
      <c r="FY19" s="361"/>
      <c r="FZ19" s="361"/>
      <c r="GA19" s="361"/>
      <c r="GB19" s="361"/>
      <c r="GC19" s="361"/>
      <c r="GD19" s="361"/>
      <c r="GE19" s="361"/>
      <c r="GF19" s="361"/>
      <c r="GG19" s="361"/>
      <c r="GH19" s="361"/>
      <c r="GI19" s="361"/>
      <c r="GJ19" s="361"/>
      <c r="GK19" s="361"/>
      <c r="GL19" s="361"/>
      <c r="GM19" s="361"/>
      <c r="GN19" s="361"/>
      <c r="GO19" s="361"/>
      <c r="GP19" s="361"/>
      <c r="GQ19" s="361"/>
      <c r="GR19" s="361"/>
      <c r="GS19" s="361"/>
      <c r="GT19" s="361"/>
      <c r="GU19" s="361"/>
      <c r="GV19" s="361"/>
      <c r="GW19" s="361"/>
      <c r="GX19" s="361"/>
      <c r="GY19" s="361"/>
      <c r="GZ19" s="361"/>
      <c r="HA19" s="361"/>
      <c r="HB19" s="361"/>
      <c r="HC19" s="361"/>
      <c r="HD19" s="361"/>
      <c r="HE19" s="361"/>
      <c r="HF19" s="361"/>
      <c r="HG19" s="361"/>
      <c r="HH19" s="361"/>
      <c r="HI19" s="361"/>
      <c r="HJ19" s="361"/>
      <c r="HK19" s="361"/>
      <c r="HL19" s="361"/>
      <c r="HM19" s="361"/>
      <c r="HN19" s="361"/>
      <c r="HO19" s="361"/>
      <c r="HP19" s="361"/>
      <c r="HQ19" s="361"/>
      <c r="HR19" s="361"/>
      <c r="HS19" s="361"/>
      <c r="HT19" s="361"/>
      <c r="HU19" s="361"/>
      <c r="HV19" s="361"/>
      <c r="HW19" s="361"/>
      <c r="HX19" s="361"/>
      <c r="HY19" s="361"/>
      <c r="HZ19" s="361"/>
      <c r="IA19" s="361"/>
      <c r="IB19" s="361"/>
      <c r="IC19" s="361"/>
      <c r="ID19" s="361"/>
      <c r="IE19" s="361"/>
      <c r="IF19" s="361"/>
      <c r="IG19" s="361"/>
      <c r="IH19" s="361"/>
      <c r="II19" s="361"/>
      <c r="IJ19" s="361"/>
      <c r="IK19" s="361"/>
      <c r="IL19" s="361"/>
      <c r="IM19" s="361"/>
      <c r="IN19" s="361"/>
      <c r="IO19" s="361"/>
      <c r="IP19" s="384"/>
      <c r="IQ19" s="384"/>
      <c r="IR19" s="384"/>
      <c r="IS19" s="384"/>
      <c r="IT19" s="384"/>
      <c r="IU19" s="384"/>
      <c r="IV19" s="384"/>
      <c r="IW19" s="384"/>
      <c r="IX19" s="385"/>
      <c r="IY19" s="355" t="s">
        <v>191</v>
      </c>
      <c r="IZ19" s="355"/>
      <c r="JA19" s="355"/>
      <c r="JB19" s="355"/>
      <c r="JC19" s="355"/>
      <c r="JD19" s="355"/>
      <c r="JE19" s="384"/>
    </row>
    <row r="20" spans="1:265" s="179" customFormat="1" ht="19.95" customHeight="1">
      <c r="A20" s="453"/>
      <c r="B20" s="333" t="s">
        <v>144</v>
      </c>
      <c r="C20" s="328" t="s">
        <v>71</v>
      </c>
      <c r="D20" s="830" t="s">
        <v>149</v>
      </c>
      <c r="E20" s="454">
        <f>COUNTIFS(Table1351452010[[#All],[Sales]],"คุณธวัช มีแสง",Table1351452010[[#All],[ค่าเชื่อมสัญญาณ/
ค่าติดตั้ง/
ค่าขายอุปกรณ์]],"&gt;1")</f>
        <v>0</v>
      </c>
      <c r="F20" s="455">
        <f>SUMIF(Table1351452010[[#All],[Sales]],"คุณธวัช มีแสง",Table1351452010[[#All],[Total
ค่าเชื่มสัญญาณ/ค่าติดตั้ง/
ค่าขายอุปกรณ์
(2)]])</f>
        <v>0</v>
      </c>
      <c r="G20" s="434">
        <v>0</v>
      </c>
      <c r="H20" s="436">
        <f t="shared" ref="H20:H32" si="2">F20-G20</f>
        <v>0</v>
      </c>
      <c r="I20" s="359"/>
      <c r="J20" s="359"/>
      <c r="K20" s="358"/>
      <c r="L20" s="358"/>
      <c r="M20" s="38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361"/>
      <c r="AZ20" s="361"/>
      <c r="BA20" s="361"/>
      <c r="BB20" s="361"/>
      <c r="BC20" s="361"/>
      <c r="BD20" s="361"/>
      <c r="BE20" s="361"/>
      <c r="BF20" s="361"/>
      <c r="BG20" s="361"/>
      <c r="BH20" s="361"/>
      <c r="BI20" s="361"/>
      <c r="BJ20" s="361"/>
      <c r="BK20" s="361"/>
      <c r="BL20" s="361"/>
      <c r="BM20" s="361"/>
      <c r="BN20" s="361"/>
      <c r="BO20" s="361"/>
      <c r="BP20" s="361"/>
      <c r="BQ20" s="361"/>
      <c r="BR20" s="361"/>
      <c r="BS20" s="361"/>
      <c r="BT20" s="361"/>
      <c r="BU20" s="361"/>
      <c r="BV20" s="361"/>
      <c r="BW20" s="361"/>
      <c r="BX20" s="361"/>
      <c r="BY20" s="361"/>
      <c r="BZ20" s="361"/>
      <c r="CA20" s="361"/>
      <c r="CB20" s="361"/>
      <c r="CC20" s="361"/>
      <c r="CD20" s="361"/>
      <c r="CE20" s="361"/>
      <c r="CF20" s="361"/>
      <c r="CG20" s="361"/>
      <c r="CH20" s="361"/>
      <c r="CI20" s="361"/>
      <c r="CJ20" s="361"/>
      <c r="CK20" s="361"/>
      <c r="CL20" s="361"/>
      <c r="CM20" s="361"/>
      <c r="CN20" s="361"/>
      <c r="CO20" s="361"/>
      <c r="CP20" s="361"/>
      <c r="CQ20" s="361"/>
      <c r="CR20" s="361"/>
      <c r="CS20" s="361"/>
      <c r="CT20" s="361"/>
      <c r="CU20" s="361"/>
      <c r="CV20" s="361"/>
      <c r="CW20" s="361"/>
      <c r="CX20" s="361"/>
      <c r="CY20" s="361"/>
      <c r="CZ20" s="361"/>
      <c r="DA20" s="361"/>
      <c r="DB20" s="361"/>
      <c r="DC20" s="361"/>
      <c r="DD20" s="361"/>
      <c r="DE20" s="361"/>
      <c r="DF20" s="361"/>
      <c r="DG20" s="361"/>
      <c r="DH20" s="361"/>
      <c r="DI20" s="361"/>
      <c r="DJ20" s="361"/>
      <c r="DK20" s="361"/>
      <c r="DL20" s="361"/>
      <c r="DM20" s="361"/>
      <c r="DN20" s="361"/>
      <c r="DO20" s="361"/>
      <c r="DP20" s="361"/>
      <c r="DQ20" s="361"/>
      <c r="DR20" s="361"/>
      <c r="DS20" s="361"/>
      <c r="DT20" s="361"/>
      <c r="DU20" s="361"/>
      <c r="DV20" s="361"/>
      <c r="DW20" s="361"/>
      <c r="DX20" s="361"/>
      <c r="DY20" s="361"/>
      <c r="DZ20" s="361"/>
      <c r="EA20" s="361"/>
      <c r="EB20" s="361"/>
      <c r="EC20" s="361"/>
      <c r="ED20" s="361"/>
      <c r="EE20" s="361"/>
      <c r="EF20" s="361"/>
      <c r="EG20" s="361"/>
      <c r="EH20" s="361"/>
      <c r="EI20" s="361"/>
      <c r="EJ20" s="361"/>
      <c r="EK20" s="361"/>
      <c r="EL20" s="361"/>
      <c r="EM20" s="361"/>
      <c r="EN20" s="361"/>
      <c r="EO20" s="361"/>
      <c r="EP20" s="361"/>
      <c r="EQ20" s="361"/>
      <c r="ER20" s="361"/>
      <c r="ES20" s="361"/>
      <c r="ET20" s="361"/>
      <c r="EU20" s="361"/>
      <c r="EV20" s="361"/>
      <c r="EW20" s="361"/>
      <c r="EX20" s="361"/>
      <c r="EY20" s="361"/>
      <c r="EZ20" s="361"/>
      <c r="FA20" s="361"/>
      <c r="FB20" s="361"/>
      <c r="FC20" s="361"/>
      <c r="FD20" s="361"/>
      <c r="FE20" s="361"/>
      <c r="FF20" s="361"/>
      <c r="FG20" s="361"/>
      <c r="FH20" s="361"/>
      <c r="FI20" s="361"/>
      <c r="FJ20" s="361"/>
      <c r="FK20" s="361"/>
      <c r="FL20" s="361"/>
      <c r="FM20" s="361"/>
      <c r="FN20" s="361"/>
      <c r="FO20" s="361"/>
      <c r="FP20" s="361"/>
      <c r="FQ20" s="361"/>
      <c r="FR20" s="361"/>
      <c r="FS20" s="361"/>
      <c r="FT20" s="361"/>
      <c r="FU20" s="361"/>
      <c r="FV20" s="361"/>
      <c r="FW20" s="361"/>
      <c r="FX20" s="361"/>
      <c r="FY20" s="361"/>
      <c r="FZ20" s="361"/>
      <c r="GA20" s="361"/>
      <c r="GB20" s="361"/>
      <c r="GC20" s="361"/>
      <c r="GD20" s="361"/>
      <c r="GE20" s="361"/>
      <c r="GF20" s="361"/>
      <c r="GG20" s="361"/>
      <c r="GH20" s="361"/>
      <c r="GI20" s="361"/>
      <c r="GJ20" s="361"/>
      <c r="GK20" s="361"/>
      <c r="GL20" s="361"/>
      <c r="GM20" s="361"/>
      <c r="GN20" s="361"/>
      <c r="GO20" s="361"/>
      <c r="GP20" s="361"/>
      <c r="GQ20" s="361"/>
      <c r="GR20" s="361"/>
      <c r="GS20" s="361"/>
      <c r="GT20" s="361"/>
      <c r="GU20" s="361"/>
      <c r="GV20" s="361"/>
      <c r="GW20" s="361"/>
      <c r="GX20" s="361"/>
      <c r="GY20" s="361"/>
      <c r="GZ20" s="361"/>
      <c r="HA20" s="361"/>
      <c r="HB20" s="361"/>
      <c r="HC20" s="361"/>
      <c r="HD20" s="361"/>
      <c r="HE20" s="361"/>
      <c r="HF20" s="361"/>
      <c r="HG20" s="361"/>
      <c r="HH20" s="361"/>
      <c r="HI20" s="361"/>
      <c r="HJ20" s="361"/>
      <c r="HK20" s="361"/>
      <c r="HL20" s="361"/>
      <c r="HM20" s="361"/>
      <c r="HN20" s="361"/>
      <c r="HO20" s="361"/>
      <c r="HP20" s="361"/>
      <c r="HQ20" s="361"/>
      <c r="HR20" s="361"/>
      <c r="HS20" s="361"/>
      <c r="HT20" s="361"/>
      <c r="HU20" s="361"/>
      <c r="HV20" s="361"/>
      <c r="HW20" s="361"/>
      <c r="HX20" s="361"/>
      <c r="HY20" s="361"/>
      <c r="HZ20" s="361"/>
      <c r="IA20" s="361"/>
      <c r="IB20" s="361"/>
      <c r="IC20" s="361"/>
      <c r="ID20" s="361"/>
      <c r="IE20" s="361"/>
      <c r="IF20" s="361"/>
      <c r="IG20" s="361"/>
      <c r="IH20" s="361"/>
      <c r="II20" s="361"/>
      <c r="IJ20" s="361"/>
      <c r="IK20" s="361"/>
      <c r="IL20" s="361"/>
      <c r="IM20" s="361"/>
      <c r="IN20" s="361"/>
      <c r="IO20" s="361"/>
      <c r="IP20" s="385"/>
      <c r="IQ20" s="385"/>
      <c r="IR20" s="385"/>
      <c r="IS20" s="385"/>
      <c r="IT20" s="385"/>
      <c r="IU20" s="385"/>
      <c r="IV20" s="385"/>
      <c r="IW20" s="385"/>
      <c r="IX20" s="385"/>
      <c r="IY20" s="346" t="s">
        <v>70</v>
      </c>
      <c r="IZ20" s="346"/>
      <c r="JA20" s="346"/>
      <c r="JB20" s="346"/>
      <c r="JC20" s="346"/>
      <c r="JD20" s="346"/>
      <c r="JE20" s="385"/>
    </row>
    <row r="21" spans="1:265" s="179" customFormat="1" ht="19.95" customHeight="1">
      <c r="A21" s="453"/>
      <c r="B21" s="333" t="s">
        <v>145</v>
      </c>
      <c r="C21" s="328" t="s">
        <v>73</v>
      </c>
      <c r="D21" s="830" t="s">
        <v>150</v>
      </c>
      <c r="E21" s="454">
        <f>COUNTIFS(Table1351452010[[#All],[Sales]],"คุณนิยนต์ อยู่ทะเล",Table1351452010[[#All],[ค่าเชื่อมสัญญาณ/
ค่าติดตั้ง/
ค่าขายอุปกรณ์]],"&gt;1")</f>
        <v>0</v>
      </c>
      <c r="F21" s="455">
        <f>SUMIF(Table1351452010[[#All],[Sales]],"คุณนิยนต์ อยู่ทะเล",Table1351452010[[#All],[Total
ค่าเชื่มสัญญาณ/ค่าติดตั้ง/
ค่าขายอุปกรณ์
(2)]])</f>
        <v>0</v>
      </c>
      <c r="G21" s="434">
        <v>0</v>
      </c>
      <c r="H21" s="436">
        <f t="shared" si="2"/>
        <v>0</v>
      </c>
      <c r="I21" s="359"/>
      <c r="J21" s="359"/>
      <c r="K21" s="359"/>
      <c r="L21" s="359"/>
      <c r="M21" s="38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361"/>
      <c r="AP21" s="361"/>
      <c r="AQ21" s="361"/>
      <c r="AR21" s="361"/>
      <c r="AS21" s="361"/>
      <c r="AT21" s="361"/>
      <c r="AU21" s="361"/>
      <c r="AV21" s="361"/>
      <c r="AW21" s="361"/>
      <c r="AX21" s="361"/>
      <c r="AY21" s="361"/>
      <c r="AZ21" s="361"/>
      <c r="BA21" s="361"/>
      <c r="BB21" s="361"/>
      <c r="BC21" s="361"/>
      <c r="BD21" s="361"/>
      <c r="BE21" s="361"/>
      <c r="BF21" s="361"/>
      <c r="BG21" s="361"/>
      <c r="BH21" s="361"/>
      <c r="BI21" s="361"/>
      <c r="BJ21" s="361"/>
      <c r="BK21" s="361"/>
      <c r="BL21" s="361"/>
      <c r="BM21" s="361"/>
      <c r="BN21" s="361"/>
      <c r="BO21" s="361"/>
      <c r="BP21" s="361"/>
      <c r="BQ21" s="361"/>
      <c r="BR21" s="361"/>
      <c r="BS21" s="361"/>
      <c r="BT21" s="361"/>
      <c r="BU21" s="361"/>
      <c r="BV21" s="361"/>
      <c r="BW21" s="361"/>
      <c r="BX21" s="361"/>
      <c r="BY21" s="361"/>
      <c r="BZ21" s="361"/>
      <c r="CA21" s="361"/>
      <c r="CB21" s="361"/>
      <c r="CC21" s="361"/>
      <c r="CD21" s="361"/>
      <c r="CE21" s="361"/>
      <c r="CF21" s="361"/>
      <c r="CG21" s="361"/>
      <c r="CH21" s="361"/>
      <c r="CI21" s="361"/>
      <c r="CJ21" s="361"/>
      <c r="CK21" s="361"/>
      <c r="CL21" s="361"/>
      <c r="CM21" s="361"/>
      <c r="CN21" s="361"/>
      <c r="CO21" s="361"/>
      <c r="CP21" s="361"/>
      <c r="CQ21" s="361"/>
      <c r="CR21" s="361"/>
      <c r="CS21" s="361"/>
      <c r="CT21" s="361"/>
      <c r="CU21" s="361"/>
      <c r="CV21" s="361"/>
      <c r="CW21" s="361"/>
      <c r="CX21" s="361"/>
      <c r="CY21" s="361"/>
      <c r="CZ21" s="361"/>
      <c r="DA21" s="361"/>
      <c r="DB21" s="361"/>
      <c r="DC21" s="361"/>
      <c r="DD21" s="361"/>
      <c r="DE21" s="361"/>
      <c r="DF21" s="361"/>
      <c r="DG21" s="361"/>
      <c r="DH21" s="361"/>
      <c r="DI21" s="361"/>
      <c r="DJ21" s="361"/>
      <c r="DK21" s="361"/>
      <c r="DL21" s="361"/>
      <c r="DM21" s="361"/>
      <c r="DN21" s="361"/>
      <c r="DO21" s="361"/>
      <c r="DP21" s="361"/>
      <c r="DQ21" s="361"/>
      <c r="DR21" s="361"/>
      <c r="DS21" s="361"/>
      <c r="DT21" s="361"/>
      <c r="DU21" s="361"/>
      <c r="DV21" s="361"/>
      <c r="DW21" s="361"/>
      <c r="DX21" s="361"/>
      <c r="DY21" s="361"/>
      <c r="DZ21" s="361"/>
      <c r="EA21" s="361"/>
      <c r="EB21" s="361"/>
      <c r="EC21" s="361"/>
      <c r="ED21" s="361"/>
      <c r="EE21" s="361"/>
      <c r="EF21" s="361"/>
      <c r="EG21" s="361"/>
      <c r="EH21" s="361"/>
      <c r="EI21" s="361"/>
      <c r="EJ21" s="361"/>
      <c r="EK21" s="361"/>
      <c r="EL21" s="361"/>
      <c r="EM21" s="361"/>
      <c r="EN21" s="361"/>
      <c r="EO21" s="361"/>
      <c r="EP21" s="361"/>
      <c r="EQ21" s="361"/>
      <c r="ER21" s="361"/>
      <c r="ES21" s="361"/>
      <c r="ET21" s="361"/>
      <c r="EU21" s="361"/>
      <c r="EV21" s="361"/>
      <c r="EW21" s="361"/>
      <c r="EX21" s="361"/>
      <c r="EY21" s="361"/>
      <c r="EZ21" s="361"/>
      <c r="FA21" s="361"/>
      <c r="FB21" s="361"/>
      <c r="FC21" s="361"/>
      <c r="FD21" s="361"/>
      <c r="FE21" s="361"/>
      <c r="FF21" s="361"/>
      <c r="FG21" s="361"/>
      <c r="FH21" s="361"/>
      <c r="FI21" s="361"/>
      <c r="FJ21" s="361"/>
      <c r="FK21" s="361"/>
      <c r="FL21" s="361"/>
      <c r="FM21" s="361"/>
      <c r="FN21" s="361"/>
      <c r="FO21" s="361"/>
      <c r="FP21" s="361"/>
      <c r="FQ21" s="361"/>
      <c r="FR21" s="361"/>
      <c r="FS21" s="361"/>
      <c r="FT21" s="361"/>
      <c r="FU21" s="361"/>
      <c r="FV21" s="361"/>
      <c r="FW21" s="361"/>
      <c r="FX21" s="361"/>
      <c r="FY21" s="361"/>
      <c r="FZ21" s="361"/>
      <c r="GA21" s="361"/>
      <c r="GB21" s="361"/>
      <c r="GC21" s="361"/>
      <c r="GD21" s="361"/>
      <c r="GE21" s="361"/>
      <c r="GF21" s="361"/>
      <c r="GG21" s="361"/>
      <c r="GH21" s="361"/>
      <c r="GI21" s="361"/>
      <c r="GJ21" s="361"/>
      <c r="GK21" s="361"/>
      <c r="GL21" s="361"/>
      <c r="GM21" s="361"/>
      <c r="GN21" s="361"/>
      <c r="GO21" s="361"/>
      <c r="GP21" s="361"/>
      <c r="GQ21" s="361"/>
      <c r="GR21" s="361"/>
      <c r="GS21" s="361"/>
      <c r="GT21" s="361"/>
      <c r="GU21" s="361"/>
      <c r="GV21" s="361"/>
      <c r="GW21" s="361"/>
      <c r="GX21" s="361"/>
      <c r="GY21" s="361"/>
      <c r="GZ21" s="361"/>
      <c r="HA21" s="361"/>
      <c r="HB21" s="361"/>
      <c r="HC21" s="361"/>
      <c r="HD21" s="361"/>
      <c r="HE21" s="361"/>
      <c r="HF21" s="361"/>
      <c r="HG21" s="361"/>
      <c r="HH21" s="361"/>
      <c r="HI21" s="361"/>
      <c r="HJ21" s="361"/>
      <c r="HK21" s="361"/>
      <c r="HL21" s="361"/>
      <c r="HM21" s="361"/>
      <c r="HN21" s="361"/>
      <c r="HO21" s="361"/>
      <c r="HP21" s="361"/>
      <c r="HQ21" s="361"/>
      <c r="HR21" s="361"/>
      <c r="HS21" s="361"/>
      <c r="HT21" s="361"/>
      <c r="HU21" s="361"/>
      <c r="HV21" s="361"/>
      <c r="HW21" s="361"/>
      <c r="HX21" s="361"/>
      <c r="HY21" s="361"/>
      <c r="HZ21" s="361"/>
      <c r="IA21" s="361"/>
      <c r="IB21" s="361"/>
      <c r="IC21" s="361"/>
      <c r="ID21" s="361"/>
      <c r="IE21" s="361"/>
      <c r="IF21" s="361"/>
      <c r="IG21" s="361"/>
      <c r="IH21" s="361"/>
      <c r="II21" s="361"/>
      <c r="IJ21" s="361"/>
      <c r="IK21" s="361"/>
      <c r="IL21" s="361"/>
      <c r="IM21" s="361"/>
      <c r="IN21" s="361"/>
      <c r="IO21" s="361"/>
      <c r="IP21" s="385"/>
      <c r="IQ21" s="385"/>
      <c r="IR21" s="385"/>
      <c r="IS21" s="385"/>
      <c r="IT21" s="385"/>
      <c r="IU21" s="385"/>
      <c r="IV21" s="385"/>
      <c r="IW21" s="385"/>
      <c r="IX21" s="385"/>
      <c r="IY21" s="346" t="s">
        <v>71</v>
      </c>
      <c r="IZ21" s="346"/>
      <c r="JA21" s="346"/>
      <c r="JB21" s="346"/>
      <c r="JC21" s="346"/>
      <c r="JD21" s="346"/>
      <c r="JE21" s="385"/>
    </row>
    <row r="22" spans="1:265" s="179" customFormat="1" ht="19.95" customHeight="1">
      <c r="A22" s="453"/>
      <c r="B22" s="333" t="s">
        <v>40</v>
      </c>
      <c r="C22" s="328" t="s">
        <v>74</v>
      </c>
      <c r="D22" s="178"/>
      <c r="E22" s="454">
        <f>COUNTIFS(Table1351452010[[#All],[Sales]],"คุณจินตนา อ้อยหวาน",Table1351452010[[#All],[ค่าเชื่อมสัญญาณ/
ค่าติดตั้ง/
ค่าขายอุปกรณ์]],"&gt;1")</f>
        <v>0</v>
      </c>
      <c r="F22" s="455">
        <f>SUMIF(Table1351452010[[#All],[Sales]],"คุณจินตนา อ้อยหวาน",Table1351452010[[#All],[Total
ค่าเชื่มสัญญาณ/ค่าติดตั้ง/
ค่าขายอุปกรณ์
(2)]])</f>
        <v>0</v>
      </c>
      <c r="G22" s="434">
        <v>0</v>
      </c>
      <c r="H22" s="436">
        <f t="shared" si="2"/>
        <v>0</v>
      </c>
      <c r="I22" s="359"/>
      <c r="J22" s="359"/>
      <c r="K22" s="359"/>
      <c r="L22" s="359"/>
      <c r="M22" s="746"/>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1"/>
      <c r="AM22" s="361"/>
      <c r="AN22" s="361"/>
      <c r="AO22" s="361"/>
      <c r="AP22" s="361"/>
      <c r="AQ22" s="361"/>
      <c r="AR22" s="361"/>
      <c r="AS22" s="361"/>
      <c r="AT22" s="361"/>
      <c r="AU22" s="361"/>
      <c r="AV22" s="361"/>
      <c r="AW22" s="361"/>
      <c r="AX22" s="361"/>
      <c r="AY22" s="361"/>
      <c r="AZ22" s="361"/>
      <c r="BA22" s="361"/>
      <c r="BB22" s="361"/>
      <c r="BC22" s="361"/>
      <c r="BD22" s="361"/>
      <c r="BE22" s="361"/>
      <c r="BF22" s="361"/>
      <c r="BG22" s="361"/>
      <c r="BH22" s="361"/>
      <c r="BI22" s="361"/>
      <c r="BJ22" s="361"/>
      <c r="BK22" s="361"/>
      <c r="BL22" s="361"/>
      <c r="BM22" s="361"/>
      <c r="BN22" s="361"/>
      <c r="BO22" s="361"/>
      <c r="BP22" s="361"/>
      <c r="BQ22" s="361"/>
      <c r="BR22" s="361"/>
      <c r="BS22" s="361"/>
      <c r="BT22" s="361"/>
      <c r="BU22" s="361"/>
      <c r="BV22" s="361"/>
      <c r="BW22" s="361"/>
      <c r="BX22" s="361"/>
      <c r="BY22" s="361"/>
      <c r="BZ22" s="361"/>
      <c r="CA22" s="361"/>
      <c r="CB22" s="361"/>
      <c r="CC22" s="361"/>
      <c r="CD22" s="361"/>
      <c r="CE22" s="361"/>
      <c r="CF22" s="361"/>
      <c r="CG22" s="361"/>
      <c r="CH22" s="361"/>
      <c r="CI22" s="361"/>
      <c r="CJ22" s="361"/>
      <c r="CK22" s="361"/>
      <c r="CL22" s="361"/>
      <c r="CM22" s="361"/>
      <c r="CN22" s="361"/>
      <c r="CO22" s="361"/>
      <c r="CP22" s="361"/>
      <c r="CQ22" s="361"/>
      <c r="CR22" s="361"/>
      <c r="CS22" s="361"/>
      <c r="CT22" s="361"/>
      <c r="CU22" s="361"/>
      <c r="CV22" s="361"/>
      <c r="CW22" s="361"/>
      <c r="CX22" s="361"/>
      <c r="CY22" s="361"/>
      <c r="CZ22" s="361"/>
      <c r="DA22" s="361"/>
      <c r="DB22" s="361"/>
      <c r="DC22" s="361"/>
      <c r="DD22" s="361"/>
      <c r="DE22" s="361"/>
      <c r="DF22" s="361"/>
      <c r="DG22" s="361"/>
      <c r="DH22" s="361"/>
      <c r="DI22" s="361"/>
      <c r="DJ22" s="361"/>
      <c r="DK22" s="361"/>
      <c r="DL22" s="361"/>
      <c r="DM22" s="361"/>
      <c r="DN22" s="361"/>
      <c r="DO22" s="361"/>
      <c r="DP22" s="361"/>
      <c r="DQ22" s="361"/>
      <c r="DR22" s="361"/>
      <c r="DS22" s="361"/>
      <c r="DT22" s="361"/>
      <c r="DU22" s="361"/>
      <c r="DV22" s="361"/>
      <c r="DW22" s="361"/>
      <c r="DX22" s="361"/>
      <c r="DY22" s="361"/>
      <c r="DZ22" s="361"/>
      <c r="EA22" s="361"/>
      <c r="EB22" s="361"/>
      <c r="EC22" s="361"/>
      <c r="ED22" s="361"/>
      <c r="EE22" s="361"/>
      <c r="EF22" s="361"/>
      <c r="EG22" s="361"/>
      <c r="EH22" s="361"/>
      <c r="EI22" s="361"/>
      <c r="EJ22" s="361"/>
      <c r="EK22" s="361"/>
      <c r="EL22" s="361"/>
      <c r="EM22" s="361"/>
      <c r="EN22" s="361"/>
      <c r="EO22" s="361"/>
      <c r="EP22" s="361"/>
      <c r="EQ22" s="361"/>
      <c r="ER22" s="361"/>
      <c r="ES22" s="361"/>
      <c r="ET22" s="361"/>
      <c r="EU22" s="361"/>
      <c r="EV22" s="361"/>
      <c r="EW22" s="361"/>
      <c r="EX22" s="361"/>
      <c r="EY22" s="361"/>
      <c r="EZ22" s="361"/>
      <c r="FA22" s="361"/>
      <c r="FB22" s="361"/>
      <c r="FC22" s="361"/>
      <c r="FD22" s="361"/>
      <c r="FE22" s="361"/>
      <c r="FF22" s="361"/>
      <c r="FG22" s="361"/>
      <c r="FH22" s="361"/>
      <c r="FI22" s="361"/>
      <c r="FJ22" s="361"/>
      <c r="FK22" s="361"/>
      <c r="FL22" s="361"/>
      <c r="FM22" s="361"/>
      <c r="FN22" s="361"/>
      <c r="FO22" s="361"/>
      <c r="FP22" s="361"/>
      <c r="FQ22" s="361"/>
      <c r="FR22" s="361"/>
      <c r="FS22" s="361"/>
      <c r="FT22" s="361"/>
      <c r="FU22" s="361"/>
      <c r="FV22" s="361"/>
      <c r="FW22" s="361"/>
      <c r="FX22" s="361"/>
      <c r="FY22" s="361"/>
      <c r="FZ22" s="361"/>
      <c r="GA22" s="361"/>
      <c r="GB22" s="361"/>
      <c r="GC22" s="361"/>
      <c r="GD22" s="361"/>
      <c r="GE22" s="361"/>
      <c r="GF22" s="361"/>
      <c r="GG22" s="361"/>
      <c r="GH22" s="361"/>
      <c r="GI22" s="361"/>
      <c r="GJ22" s="361"/>
      <c r="GK22" s="361"/>
      <c r="GL22" s="361"/>
      <c r="GM22" s="361"/>
      <c r="GN22" s="361"/>
      <c r="GO22" s="361"/>
      <c r="GP22" s="361"/>
      <c r="GQ22" s="361"/>
      <c r="GR22" s="361"/>
      <c r="GS22" s="361"/>
      <c r="GT22" s="361"/>
      <c r="GU22" s="361"/>
      <c r="GV22" s="361"/>
      <c r="GW22" s="361"/>
      <c r="GX22" s="361"/>
      <c r="GY22" s="361"/>
      <c r="GZ22" s="361"/>
      <c r="HA22" s="361"/>
      <c r="HB22" s="361"/>
      <c r="HC22" s="361"/>
      <c r="HD22" s="361"/>
      <c r="HE22" s="361"/>
      <c r="HF22" s="361"/>
      <c r="HG22" s="361"/>
      <c r="HH22" s="361"/>
      <c r="HI22" s="361"/>
      <c r="HJ22" s="361"/>
      <c r="HK22" s="361"/>
      <c r="HL22" s="361"/>
      <c r="HM22" s="361"/>
      <c r="HN22" s="361"/>
      <c r="HO22" s="361"/>
      <c r="HP22" s="361"/>
      <c r="HQ22" s="361"/>
      <c r="HR22" s="361"/>
      <c r="HS22" s="361"/>
      <c r="HT22" s="361"/>
      <c r="HU22" s="361"/>
      <c r="HV22" s="361"/>
      <c r="HW22" s="361"/>
      <c r="HX22" s="361"/>
      <c r="HY22" s="361"/>
      <c r="HZ22" s="361"/>
      <c r="IA22" s="361"/>
      <c r="IB22" s="361"/>
      <c r="IC22" s="361"/>
      <c r="ID22" s="361"/>
      <c r="IE22" s="361"/>
      <c r="IF22" s="361"/>
      <c r="IG22" s="361"/>
      <c r="IH22" s="361"/>
      <c r="II22" s="361"/>
      <c r="IJ22" s="361"/>
      <c r="IK22" s="361"/>
      <c r="IL22" s="361"/>
      <c r="IM22" s="361"/>
      <c r="IN22" s="361"/>
      <c r="IO22" s="361"/>
      <c r="IP22" s="385"/>
      <c r="IQ22" s="385"/>
      <c r="IR22" s="385"/>
      <c r="IS22" s="385"/>
      <c r="IT22" s="385"/>
      <c r="IU22" s="385"/>
      <c r="IV22" s="385"/>
      <c r="IW22" s="385"/>
      <c r="IX22" s="385"/>
      <c r="IY22" s="346" t="s">
        <v>73</v>
      </c>
      <c r="IZ22" s="346"/>
      <c r="JA22" s="346"/>
      <c r="JB22" s="346"/>
      <c r="JC22" s="346"/>
      <c r="JD22" s="346"/>
      <c r="JE22" s="385"/>
    </row>
    <row r="23" spans="1:265" s="179" customFormat="1" ht="19.95" customHeight="1">
      <c r="A23" s="453"/>
      <c r="B23" s="333"/>
      <c r="C23" s="328" t="s">
        <v>75</v>
      </c>
      <c r="D23" s="178"/>
      <c r="E23" s="454">
        <f>COUNTIFS(Table1351452010[[#All],[Sales]],"คุณพัชรพรรณ พึ่งพา",Table1351452010[[#All],[ค่าเชื่อมสัญญาณ/
ค่าติดตั้ง/
ค่าขายอุปกรณ์]],"&gt;1")</f>
        <v>1</v>
      </c>
      <c r="F23" s="455">
        <v>2037</v>
      </c>
      <c r="G23" s="434">
        <v>0</v>
      </c>
      <c r="H23" s="436">
        <f t="shared" si="2"/>
        <v>2037</v>
      </c>
      <c r="I23" s="359"/>
      <c r="J23" s="359"/>
      <c r="K23" s="359"/>
      <c r="L23" s="359"/>
      <c r="M23" s="38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361"/>
      <c r="AZ23" s="361"/>
      <c r="BA23" s="361"/>
      <c r="BB23" s="361"/>
      <c r="BC23" s="361"/>
      <c r="BD23" s="361"/>
      <c r="BE23" s="361"/>
      <c r="BF23" s="361"/>
      <c r="BG23" s="361"/>
      <c r="BH23" s="361"/>
      <c r="BI23" s="361"/>
      <c r="BJ23" s="361"/>
      <c r="BK23" s="361"/>
      <c r="BL23" s="361"/>
      <c r="BM23" s="361"/>
      <c r="BN23" s="361"/>
      <c r="BO23" s="361"/>
      <c r="BP23" s="361"/>
      <c r="BQ23" s="361"/>
      <c r="BR23" s="361"/>
      <c r="BS23" s="361"/>
      <c r="BT23" s="361"/>
      <c r="BU23" s="361"/>
      <c r="BV23" s="361"/>
      <c r="BW23" s="361"/>
      <c r="BX23" s="361"/>
      <c r="BY23" s="361"/>
      <c r="BZ23" s="361"/>
      <c r="CA23" s="361"/>
      <c r="CB23" s="361"/>
      <c r="CC23" s="361"/>
      <c r="CD23" s="361"/>
      <c r="CE23" s="361"/>
      <c r="CF23" s="361"/>
      <c r="CG23" s="361"/>
      <c r="CH23" s="361"/>
      <c r="CI23" s="361"/>
      <c r="CJ23" s="361"/>
      <c r="CK23" s="361"/>
      <c r="CL23" s="361"/>
      <c r="CM23" s="361"/>
      <c r="CN23" s="361"/>
      <c r="CO23" s="361"/>
      <c r="CP23" s="361"/>
      <c r="CQ23" s="361"/>
      <c r="CR23" s="361"/>
      <c r="CS23" s="361"/>
      <c r="CT23" s="361"/>
      <c r="CU23" s="361"/>
      <c r="CV23" s="361"/>
      <c r="CW23" s="361"/>
      <c r="CX23" s="361"/>
      <c r="CY23" s="361"/>
      <c r="CZ23" s="361"/>
      <c r="DA23" s="361"/>
      <c r="DB23" s="361"/>
      <c r="DC23" s="361"/>
      <c r="DD23" s="361"/>
      <c r="DE23" s="361"/>
      <c r="DF23" s="361"/>
      <c r="DG23" s="361"/>
      <c r="DH23" s="361"/>
      <c r="DI23" s="361"/>
      <c r="DJ23" s="361"/>
      <c r="DK23" s="361"/>
      <c r="DL23" s="361"/>
      <c r="DM23" s="361"/>
      <c r="DN23" s="361"/>
      <c r="DO23" s="361"/>
      <c r="DP23" s="361"/>
      <c r="DQ23" s="361"/>
      <c r="DR23" s="361"/>
      <c r="DS23" s="361"/>
      <c r="DT23" s="361"/>
      <c r="DU23" s="361"/>
      <c r="DV23" s="361"/>
      <c r="DW23" s="361"/>
      <c r="DX23" s="361"/>
      <c r="DY23" s="361"/>
      <c r="DZ23" s="361"/>
      <c r="EA23" s="361"/>
      <c r="EB23" s="361"/>
      <c r="EC23" s="361"/>
      <c r="ED23" s="361"/>
      <c r="EE23" s="361"/>
      <c r="EF23" s="361"/>
      <c r="EG23" s="361"/>
      <c r="EH23" s="361"/>
      <c r="EI23" s="361"/>
      <c r="EJ23" s="361"/>
      <c r="EK23" s="361"/>
      <c r="EL23" s="361"/>
      <c r="EM23" s="361"/>
      <c r="EN23" s="361"/>
      <c r="EO23" s="361"/>
      <c r="EP23" s="361"/>
      <c r="EQ23" s="361"/>
      <c r="ER23" s="361"/>
      <c r="ES23" s="361"/>
      <c r="ET23" s="361"/>
      <c r="EU23" s="361"/>
      <c r="EV23" s="361"/>
      <c r="EW23" s="361"/>
      <c r="EX23" s="361"/>
      <c r="EY23" s="361"/>
      <c r="EZ23" s="361"/>
      <c r="FA23" s="361"/>
      <c r="FB23" s="361"/>
      <c r="FC23" s="361"/>
      <c r="FD23" s="361"/>
      <c r="FE23" s="361"/>
      <c r="FF23" s="361"/>
      <c r="FG23" s="361"/>
      <c r="FH23" s="361"/>
      <c r="FI23" s="361"/>
      <c r="FJ23" s="361"/>
      <c r="FK23" s="361"/>
      <c r="FL23" s="361"/>
      <c r="FM23" s="361"/>
      <c r="FN23" s="361"/>
      <c r="FO23" s="361"/>
      <c r="FP23" s="361"/>
      <c r="FQ23" s="361"/>
      <c r="FR23" s="361"/>
      <c r="FS23" s="361"/>
      <c r="FT23" s="361"/>
      <c r="FU23" s="361"/>
      <c r="FV23" s="361"/>
      <c r="FW23" s="361"/>
      <c r="FX23" s="361"/>
      <c r="FY23" s="361"/>
      <c r="FZ23" s="361"/>
      <c r="GA23" s="361"/>
      <c r="GB23" s="361"/>
      <c r="GC23" s="361"/>
      <c r="GD23" s="361"/>
      <c r="GE23" s="361"/>
      <c r="GF23" s="361"/>
      <c r="GG23" s="361"/>
      <c r="GH23" s="361"/>
      <c r="GI23" s="361"/>
      <c r="GJ23" s="361"/>
      <c r="GK23" s="361"/>
      <c r="GL23" s="361"/>
      <c r="GM23" s="361"/>
      <c r="GN23" s="361"/>
      <c r="GO23" s="361"/>
      <c r="GP23" s="361"/>
      <c r="GQ23" s="361"/>
      <c r="GR23" s="361"/>
      <c r="GS23" s="361"/>
      <c r="GT23" s="361"/>
      <c r="GU23" s="361"/>
      <c r="GV23" s="361"/>
      <c r="GW23" s="361"/>
      <c r="GX23" s="361"/>
      <c r="GY23" s="361"/>
      <c r="GZ23" s="361"/>
      <c r="HA23" s="361"/>
      <c r="HB23" s="361"/>
      <c r="HC23" s="361"/>
      <c r="HD23" s="361"/>
      <c r="HE23" s="361"/>
      <c r="HF23" s="361"/>
      <c r="HG23" s="361"/>
      <c r="HH23" s="361"/>
      <c r="HI23" s="361"/>
      <c r="HJ23" s="361"/>
      <c r="HK23" s="361"/>
      <c r="HL23" s="361"/>
      <c r="HM23" s="361"/>
      <c r="HN23" s="361"/>
      <c r="HO23" s="361"/>
      <c r="HP23" s="361"/>
      <c r="HQ23" s="361"/>
      <c r="HR23" s="361"/>
      <c r="HS23" s="361"/>
      <c r="HT23" s="361"/>
      <c r="HU23" s="361"/>
      <c r="HV23" s="361"/>
      <c r="HW23" s="361"/>
      <c r="HX23" s="361"/>
      <c r="HY23" s="361"/>
      <c r="HZ23" s="361"/>
      <c r="IA23" s="361"/>
      <c r="IB23" s="361"/>
      <c r="IC23" s="361"/>
      <c r="ID23" s="361"/>
      <c r="IE23" s="361"/>
      <c r="IF23" s="361"/>
      <c r="IG23" s="361"/>
      <c r="IH23" s="361"/>
      <c r="II23" s="361"/>
      <c r="IJ23" s="361"/>
      <c r="IK23" s="361"/>
      <c r="IL23" s="361"/>
      <c r="IM23" s="361"/>
      <c r="IN23" s="361"/>
      <c r="IO23" s="361"/>
      <c r="IP23" s="385"/>
      <c r="IQ23" s="385"/>
      <c r="IR23" s="385"/>
      <c r="IS23" s="385"/>
      <c r="IT23" s="385"/>
      <c r="IU23" s="385"/>
      <c r="IV23" s="385"/>
      <c r="IW23" s="385"/>
      <c r="IX23" s="385"/>
      <c r="IY23" s="346" t="s">
        <v>74</v>
      </c>
      <c r="IZ23" s="346"/>
      <c r="JA23" s="346"/>
      <c r="JB23" s="346"/>
      <c r="JC23" s="346"/>
      <c r="JD23" s="346"/>
      <c r="JE23" s="385"/>
    </row>
    <row r="24" spans="1:265" s="179" customFormat="1" ht="19.95" customHeight="1">
      <c r="A24" s="453"/>
      <c r="B24" s="333"/>
      <c r="C24" s="328" t="s">
        <v>154</v>
      </c>
      <c r="D24" s="178"/>
      <c r="E24" s="454">
        <f>COUNTIFS(Table1351452010[[#All],[Sales]],"คุณนรินทร์ ปิงมูล",Table1351452010[[#All],[ค่าเชื่อมสัญญาณ/
ค่าติดตั้ง/
ค่าขายอุปกรณ์]],"&gt;1")</f>
        <v>0</v>
      </c>
      <c r="F24" s="455">
        <f>SUMIF(Table1351452010[[#All],[Sales]],"คุณนรินทร์ ปิงมูล",Table1351452010[[#All],[Total
ค่าเชื่มสัญญาณ/ค่าติดตั้ง/
ค่าขายอุปกรณ์
(2)]])</f>
        <v>0</v>
      </c>
      <c r="G24" s="434">
        <v>0</v>
      </c>
      <c r="H24" s="436">
        <f t="shared" si="2"/>
        <v>0</v>
      </c>
      <c r="I24" s="359"/>
      <c r="J24" s="359"/>
      <c r="K24" s="359"/>
      <c r="L24" s="359"/>
      <c r="M24" s="381"/>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1"/>
      <c r="AM24" s="361"/>
      <c r="AN24" s="361"/>
      <c r="AO24" s="361"/>
      <c r="AP24" s="361"/>
      <c r="AQ24" s="361"/>
      <c r="AR24" s="361"/>
      <c r="AS24" s="361"/>
      <c r="AT24" s="361"/>
      <c r="AU24" s="361"/>
      <c r="AV24" s="361"/>
      <c r="AW24" s="361"/>
      <c r="AX24" s="361"/>
      <c r="AY24" s="361"/>
      <c r="AZ24" s="361"/>
      <c r="BA24" s="361"/>
      <c r="BB24" s="361"/>
      <c r="BC24" s="361"/>
      <c r="BD24" s="361"/>
      <c r="BE24" s="361"/>
      <c r="BF24" s="361"/>
      <c r="BG24" s="361"/>
      <c r="BH24" s="361"/>
      <c r="BI24" s="361"/>
      <c r="BJ24" s="361"/>
      <c r="BK24" s="361"/>
      <c r="BL24" s="361"/>
      <c r="BM24" s="361"/>
      <c r="BN24" s="361"/>
      <c r="BO24" s="361"/>
      <c r="BP24" s="361"/>
      <c r="BQ24" s="361"/>
      <c r="BR24" s="361"/>
      <c r="BS24" s="361"/>
      <c r="BT24" s="361"/>
      <c r="BU24" s="361"/>
      <c r="BV24" s="361"/>
      <c r="BW24" s="361"/>
      <c r="BX24" s="361"/>
      <c r="BY24" s="361"/>
      <c r="BZ24" s="361"/>
      <c r="CA24" s="361"/>
      <c r="CB24" s="361"/>
      <c r="CC24" s="361"/>
      <c r="CD24" s="361"/>
      <c r="CE24" s="361"/>
      <c r="CF24" s="361"/>
      <c r="CG24" s="361"/>
      <c r="CH24" s="361"/>
      <c r="CI24" s="361"/>
      <c r="CJ24" s="361"/>
      <c r="CK24" s="361"/>
      <c r="CL24" s="361"/>
      <c r="CM24" s="361"/>
      <c r="CN24" s="361"/>
      <c r="CO24" s="361"/>
      <c r="CP24" s="361"/>
      <c r="CQ24" s="361"/>
      <c r="CR24" s="361"/>
      <c r="CS24" s="361"/>
      <c r="CT24" s="361"/>
      <c r="CU24" s="361"/>
      <c r="CV24" s="361"/>
      <c r="CW24" s="361"/>
      <c r="CX24" s="361"/>
      <c r="CY24" s="361"/>
      <c r="CZ24" s="361"/>
      <c r="DA24" s="361"/>
      <c r="DB24" s="361"/>
      <c r="DC24" s="361"/>
      <c r="DD24" s="361"/>
      <c r="DE24" s="361"/>
      <c r="DF24" s="361"/>
      <c r="DG24" s="361"/>
      <c r="DH24" s="361"/>
      <c r="DI24" s="361"/>
      <c r="DJ24" s="361"/>
      <c r="DK24" s="361"/>
      <c r="DL24" s="361"/>
      <c r="DM24" s="361"/>
      <c r="DN24" s="361"/>
      <c r="DO24" s="361"/>
      <c r="DP24" s="361"/>
      <c r="DQ24" s="361"/>
      <c r="DR24" s="361"/>
      <c r="DS24" s="361"/>
      <c r="DT24" s="361"/>
      <c r="DU24" s="361"/>
      <c r="DV24" s="361"/>
      <c r="DW24" s="361"/>
      <c r="DX24" s="361"/>
      <c r="DY24" s="361"/>
      <c r="DZ24" s="361"/>
      <c r="EA24" s="361"/>
      <c r="EB24" s="361"/>
      <c r="EC24" s="361"/>
      <c r="ED24" s="361"/>
      <c r="EE24" s="361"/>
      <c r="EF24" s="361"/>
      <c r="EG24" s="361"/>
      <c r="EH24" s="361"/>
      <c r="EI24" s="361"/>
      <c r="EJ24" s="361"/>
      <c r="EK24" s="361"/>
      <c r="EL24" s="361"/>
      <c r="EM24" s="361"/>
      <c r="EN24" s="361"/>
      <c r="EO24" s="361"/>
      <c r="EP24" s="361"/>
      <c r="EQ24" s="361"/>
      <c r="ER24" s="361"/>
      <c r="ES24" s="361"/>
      <c r="ET24" s="361"/>
      <c r="EU24" s="361"/>
      <c r="EV24" s="361"/>
      <c r="EW24" s="361"/>
      <c r="EX24" s="361"/>
      <c r="EY24" s="361"/>
      <c r="EZ24" s="361"/>
      <c r="FA24" s="361"/>
      <c r="FB24" s="361"/>
      <c r="FC24" s="361"/>
      <c r="FD24" s="361"/>
      <c r="FE24" s="361"/>
      <c r="FF24" s="361"/>
      <c r="FG24" s="361"/>
      <c r="FH24" s="361"/>
      <c r="FI24" s="361"/>
      <c r="FJ24" s="361"/>
      <c r="FK24" s="361"/>
      <c r="FL24" s="361"/>
      <c r="FM24" s="361"/>
      <c r="FN24" s="361"/>
      <c r="FO24" s="361"/>
      <c r="FP24" s="361"/>
      <c r="FQ24" s="361"/>
      <c r="FR24" s="361"/>
      <c r="FS24" s="361"/>
      <c r="FT24" s="361"/>
      <c r="FU24" s="361"/>
      <c r="FV24" s="361"/>
      <c r="FW24" s="361"/>
      <c r="FX24" s="361"/>
      <c r="FY24" s="361"/>
      <c r="FZ24" s="361"/>
      <c r="GA24" s="361"/>
      <c r="GB24" s="361"/>
      <c r="GC24" s="361"/>
      <c r="GD24" s="361"/>
      <c r="GE24" s="361"/>
      <c r="GF24" s="361"/>
      <c r="GG24" s="361"/>
      <c r="GH24" s="361"/>
      <c r="GI24" s="361"/>
      <c r="GJ24" s="361"/>
      <c r="GK24" s="361"/>
      <c r="GL24" s="361"/>
      <c r="GM24" s="361"/>
      <c r="GN24" s="361"/>
      <c r="GO24" s="361"/>
      <c r="GP24" s="361"/>
      <c r="GQ24" s="361"/>
      <c r="GR24" s="361"/>
      <c r="GS24" s="361"/>
      <c r="GT24" s="361"/>
      <c r="GU24" s="361"/>
      <c r="GV24" s="361"/>
      <c r="GW24" s="361"/>
      <c r="GX24" s="361"/>
      <c r="GY24" s="361"/>
      <c r="GZ24" s="361"/>
      <c r="HA24" s="361"/>
      <c r="HB24" s="361"/>
      <c r="HC24" s="361"/>
      <c r="HD24" s="361"/>
      <c r="HE24" s="361"/>
      <c r="HF24" s="361"/>
      <c r="HG24" s="361"/>
      <c r="HH24" s="361"/>
      <c r="HI24" s="361"/>
      <c r="HJ24" s="361"/>
      <c r="HK24" s="361"/>
      <c r="HL24" s="361"/>
      <c r="HM24" s="361"/>
      <c r="HN24" s="361"/>
      <c r="HO24" s="361"/>
      <c r="HP24" s="361"/>
      <c r="HQ24" s="361"/>
      <c r="HR24" s="361"/>
      <c r="HS24" s="361"/>
      <c r="HT24" s="361"/>
      <c r="HU24" s="361"/>
      <c r="HV24" s="361"/>
      <c r="HW24" s="361"/>
      <c r="HX24" s="361"/>
      <c r="HY24" s="361"/>
      <c r="HZ24" s="361"/>
      <c r="IA24" s="361"/>
      <c r="IB24" s="361"/>
      <c r="IC24" s="361"/>
      <c r="ID24" s="361"/>
      <c r="IE24" s="361"/>
      <c r="IF24" s="361"/>
      <c r="IG24" s="361"/>
      <c r="IH24" s="361"/>
      <c r="II24" s="361"/>
      <c r="IJ24" s="361"/>
      <c r="IK24" s="361"/>
      <c r="IL24" s="361"/>
      <c r="IM24" s="361"/>
      <c r="IN24" s="361"/>
      <c r="IO24" s="361"/>
      <c r="IP24" s="385"/>
      <c r="IQ24" s="385"/>
      <c r="IR24" s="385"/>
      <c r="IS24" s="385"/>
      <c r="IT24" s="385"/>
      <c r="IU24" s="385"/>
      <c r="IV24" s="385"/>
      <c r="IW24" s="385"/>
      <c r="IX24" s="385"/>
      <c r="IY24" s="346" t="s">
        <v>75</v>
      </c>
      <c r="IZ24" s="346"/>
      <c r="JA24" s="346"/>
      <c r="JB24" s="346"/>
      <c r="JC24" s="346"/>
      <c r="JD24" s="346"/>
      <c r="JE24" s="385"/>
    </row>
    <row r="25" spans="1:265" s="179" customFormat="1" ht="19.95" customHeight="1">
      <c r="A25" s="453"/>
      <c r="B25" s="333"/>
      <c r="C25" s="328" t="s">
        <v>130</v>
      </c>
      <c r="D25" s="178"/>
      <c r="E25" s="454">
        <f>COUNTIFS(Table1351452010[[#All],[Sales]],"คุณชนัฐฎา สนคะมี",Table1351452010[[#All],[ค่าเชื่อมสัญญาณ/
ค่าติดตั้ง/
ค่าขายอุปกรณ์]],"&gt;1")</f>
        <v>1</v>
      </c>
      <c r="F25" s="455">
        <f>SUMIF(Table1351452010[[#All],[Sales]],"คุณชนัฐฎา สนคะมี",Table1351452010[[#All],[Total
ค่าเชื่มสัญญาณ/ค่าติดตั้ง/
ค่าขายอุปกรณ์
(2)]])</f>
        <v>606.25</v>
      </c>
      <c r="G25" s="434">
        <v>0</v>
      </c>
      <c r="H25" s="436">
        <f t="shared" si="2"/>
        <v>606.25</v>
      </c>
      <c r="I25" s="359"/>
      <c r="J25" s="359"/>
      <c r="K25" s="359"/>
      <c r="L25" s="359"/>
      <c r="M25" s="38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1"/>
      <c r="AP25" s="361"/>
      <c r="AQ25" s="361"/>
      <c r="AR25" s="361"/>
      <c r="AS25" s="361"/>
      <c r="AT25" s="361"/>
      <c r="AU25" s="361"/>
      <c r="AV25" s="361"/>
      <c r="AW25" s="361"/>
      <c r="AX25" s="361"/>
      <c r="AY25" s="361"/>
      <c r="AZ25" s="361"/>
      <c r="BA25" s="361"/>
      <c r="BB25" s="361"/>
      <c r="BC25" s="361"/>
      <c r="BD25" s="361"/>
      <c r="BE25" s="361"/>
      <c r="BF25" s="361"/>
      <c r="BG25" s="361"/>
      <c r="BH25" s="361"/>
      <c r="BI25" s="361"/>
      <c r="BJ25" s="361"/>
      <c r="BK25" s="361"/>
      <c r="BL25" s="361"/>
      <c r="BM25" s="361"/>
      <c r="BN25" s="361"/>
      <c r="BO25" s="361"/>
      <c r="BP25" s="361"/>
      <c r="BQ25" s="361"/>
      <c r="BR25" s="361"/>
      <c r="BS25" s="361"/>
      <c r="BT25" s="361"/>
      <c r="BU25" s="361"/>
      <c r="BV25" s="361"/>
      <c r="BW25" s="361"/>
      <c r="BX25" s="361"/>
      <c r="BY25" s="361"/>
      <c r="BZ25" s="361"/>
      <c r="CA25" s="361"/>
      <c r="CB25" s="361"/>
      <c r="CC25" s="361"/>
      <c r="CD25" s="361"/>
      <c r="CE25" s="361"/>
      <c r="CF25" s="361"/>
      <c r="CG25" s="361"/>
      <c r="CH25" s="361"/>
      <c r="CI25" s="361"/>
      <c r="CJ25" s="361"/>
      <c r="CK25" s="361"/>
      <c r="CL25" s="361"/>
      <c r="CM25" s="361"/>
      <c r="CN25" s="361"/>
      <c r="CO25" s="361"/>
      <c r="CP25" s="361"/>
      <c r="CQ25" s="361"/>
      <c r="CR25" s="361"/>
      <c r="CS25" s="361"/>
      <c r="CT25" s="361"/>
      <c r="CU25" s="361"/>
      <c r="CV25" s="361"/>
      <c r="CW25" s="361"/>
      <c r="CX25" s="361"/>
      <c r="CY25" s="361"/>
      <c r="CZ25" s="361"/>
      <c r="DA25" s="361"/>
      <c r="DB25" s="361"/>
      <c r="DC25" s="361"/>
      <c r="DD25" s="361"/>
      <c r="DE25" s="361"/>
      <c r="DF25" s="361"/>
      <c r="DG25" s="361"/>
      <c r="DH25" s="361"/>
      <c r="DI25" s="361"/>
      <c r="DJ25" s="361"/>
      <c r="DK25" s="361"/>
      <c r="DL25" s="361"/>
      <c r="DM25" s="361"/>
      <c r="DN25" s="361"/>
      <c r="DO25" s="361"/>
      <c r="DP25" s="361"/>
      <c r="DQ25" s="361"/>
      <c r="DR25" s="361"/>
      <c r="DS25" s="361"/>
      <c r="DT25" s="361"/>
      <c r="DU25" s="361"/>
      <c r="DV25" s="361"/>
      <c r="DW25" s="361"/>
      <c r="DX25" s="361"/>
      <c r="DY25" s="361"/>
      <c r="DZ25" s="361"/>
      <c r="EA25" s="361"/>
      <c r="EB25" s="361"/>
      <c r="EC25" s="361"/>
      <c r="ED25" s="361"/>
      <c r="EE25" s="361"/>
      <c r="EF25" s="361"/>
      <c r="EG25" s="361"/>
      <c r="EH25" s="361"/>
      <c r="EI25" s="361"/>
      <c r="EJ25" s="361"/>
      <c r="EK25" s="361"/>
      <c r="EL25" s="361"/>
      <c r="EM25" s="361"/>
      <c r="EN25" s="361"/>
      <c r="EO25" s="361"/>
      <c r="EP25" s="361"/>
      <c r="EQ25" s="361"/>
      <c r="ER25" s="361"/>
      <c r="ES25" s="361"/>
      <c r="ET25" s="361"/>
      <c r="EU25" s="361"/>
      <c r="EV25" s="361"/>
      <c r="EW25" s="361"/>
      <c r="EX25" s="361"/>
      <c r="EY25" s="361"/>
      <c r="EZ25" s="361"/>
      <c r="FA25" s="361"/>
      <c r="FB25" s="361"/>
      <c r="FC25" s="361"/>
      <c r="FD25" s="361"/>
      <c r="FE25" s="361"/>
      <c r="FF25" s="361"/>
      <c r="FG25" s="361"/>
      <c r="FH25" s="361"/>
      <c r="FI25" s="361"/>
      <c r="FJ25" s="361"/>
      <c r="FK25" s="361"/>
      <c r="FL25" s="361"/>
      <c r="FM25" s="361"/>
      <c r="FN25" s="361"/>
      <c r="FO25" s="361"/>
      <c r="FP25" s="361"/>
      <c r="FQ25" s="361"/>
      <c r="FR25" s="361"/>
      <c r="FS25" s="361"/>
      <c r="FT25" s="361"/>
      <c r="FU25" s="361"/>
      <c r="FV25" s="361"/>
      <c r="FW25" s="361"/>
      <c r="FX25" s="361"/>
      <c r="FY25" s="361"/>
      <c r="FZ25" s="361"/>
      <c r="GA25" s="361"/>
      <c r="GB25" s="361"/>
      <c r="GC25" s="361"/>
      <c r="GD25" s="361"/>
      <c r="GE25" s="361"/>
      <c r="GF25" s="361"/>
      <c r="GG25" s="361"/>
      <c r="GH25" s="361"/>
      <c r="GI25" s="361"/>
      <c r="GJ25" s="361"/>
      <c r="GK25" s="361"/>
      <c r="GL25" s="361"/>
      <c r="GM25" s="361"/>
      <c r="GN25" s="361"/>
      <c r="GO25" s="361"/>
      <c r="GP25" s="361"/>
      <c r="GQ25" s="361"/>
      <c r="GR25" s="361"/>
      <c r="GS25" s="361"/>
      <c r="GT25" s="361"/>
      <c r="GU25" s="361"/>
      <c r="GV25" s="361"/>
      <c r="GW25" s="361"/>
      <c r="GX25" s="361"/>
      <c r="GY25" s="361"/>
      <c r="GZ25" s="361"/>
      <c r="HA25" s="361"/>
      <c r="HB25" s="361"/>
      <c r="HC25" s="361"/>
      <c r="HD25" s="361"/>
      <c r="HE25" s="361"/>
      <c r="HF25" s="361"/>
      <c r="HG25" s="361"/>
      <c r="HH25" s="361"/>
      <c r="HI25" s="361"/>
      <c r="HJ25" s="361"/>
      <c r="HK25" s="361"/>
      <c r="HL25" s="361"/>
      <c r="HM25" s="361"/>
      <c r="HN25" s="361"/>
      <c r="HO25" s="361"/>
      <c r="HP25" s="361"/>
      <c r="HQ25" s="361"/>
      <c r="HR25" s="361"/>
      <c r="HS25" s="361"/>
      <c r="HT25" s="361"/>
      <c r="HU25" s="361"/>
      <c r="HV25" s="361"/>
      <c r="HW25" s="361"/>
      <c r="HX25" s="361"/>
      <c r="HY25" s="361"/>
      <c r="HZ25" s="361"/>
      <c r="IA25" s="361"/>
      <c r="IB25" s="361"/>
      <c r="IC25" s="361"/>
      <c r="ID25" s="361"/>
      <c r="IE25" s="361"/>
      <c r="IF25" s="361"/>
      <c r="IG25" s="361"/>
      <c r="IH25" s="361"/>
      <c r="II25" s="361"/>
      <c r="IJ25" s="361"/>
      <c r="IK25" s="361"/>
      <c r="IL25" s="361"/>
      <c r="IM25" s="361"/>
      <c r="IN25" s="361"/>
      <c r="IO25" s="361"/>
      <c r="IP25" s="385"/>
      <c r="IQ25" s="385"/>
      <c r="IR25" s="385"/>
      <c r="IS25" s="385"/>
      <c r="IT25" s="385"/>
      <c r="IU25" s="385"/>
      <c r="IV25" s="385"/>
      <c r="IW25" s="385"/>
      <c r="IX25" s="385"/>
      <c r="IY25" s="346" t="s">
        <v>154</v>
      </c>
      <c r="IZ25" s="346"/>
      <c r="JA25" s="346"/>
      <c r="JB25" s="346"/>
      <c r="JC25" s="346"/>
      <c r="JD25" s="346"/>
      <c r="JE25" s="385"/>
    </row>
    <row r="26" spans="1:265" s="179" customFormat="1" ht="19.95" customHeight="1">
      <c r="A26" s="453"/>
      <c r="B26" s="333"/>
      <c r="C26" s="328" t="s">
        <v>153</v>
      </c>
      <c r="D26" s="178"/>
      <c r="E26" s="454">
        <f>COUNTIFS(Table1351452010[[#All],[Sales]],"คุณจิรภิญญา เป็นปึก",Table1351452010[[#All],[ค่าเชื่อมสัญญาณ/
ค่าติดตั้ง/
ค่าขายอุปกรณ์]],"&gt;1")</f>
        <v>0</v>
      </c>
      <c r="F26" s="455">
        <f>SUMIF(Table1351452010[[#All],[Sales]],"คุณจิรภิญญา เป็นปึก",Table1351452010[[#All],[Total
ค่าเชื่มสัญญาณ/ค่าติดตั้ง/
ค่าขายอุปกรณ์
(2)]])</f>
        <v>0</v>
      </c>
      <c r="G26" s="434">
        <v>0</v>
      </c>
      <c r="H26" s="436">
        <f t="shared" si="2"/>
        <v>0</v>
      </c>
      <c r="I26" s="359"/>
      <c r="J26" s="359"/>
      <c r="K26" s="359"/>
      <c r="L26" s="359"/>
      <c r="M26" s="38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1"/>
      <c r="AO26" s="361"/>
      <c r="AP26" s="361"/>
      <c r="AQ26" s="361"/>
      <c r="AR26" s="361"/>
      <c r="AS26" s="361"/>
      <c r="AT26" s="361"/>
      <c r="AU26" s="361"/>
      <c r="AV26" s="361"/>
      <c r="AW26" s="361"/>
      <c r="AX26" s="361"/>
      <c r="AY26" s="361"/>
      <c r="AZ26" s="361"/>
      <c r="BA26" s="361"/>
      <c r="BB26" s="361"/>
      <c r="BC26" s="361"/>
      <c r="BD26" s="361"/>
      <c r="BE26" s="361"/>
      <c r="BF26" s="361"/>
      <c r="BG26" s="361"/>
      <c r="BH26" s="361"/>
      <c r="BI26" s="361"/>
      <c r="BJ26" s="361"/>
      <c r="BK26" s="361"/>
      <c r="BL26" s="361"/>
      <c r="BM26" s="361"/>
      <c r="BN26" s="361"/>
      <c r="BO26" s="361"/>
      <c r="BP26" s="361"/>
      <c r="BQ26" s="361"/>
      <c r="BR26" s="361"/>
      <c r="BS26" s="361"/>
      <c r="BT26" s="361"/>
      <c r="BU26" s="361"/>
      <c r="BV26" s="361"/>
      <c r="BW26" s="361"/>
      <c r="BX26" s="361"/>
      <c r="BY26" s="361"/>
      <c r="BZ26" s="361"/>
      <c r="CA26" s="361"/>
      <c r="CB26" s="361"/>
      <c r="CC26" s="361"/>
      <c r="CD26" s="361"/>
      <c r="CE26" s="361"/>
      <c r="CF26" s="361"/>
      <c r="CG26" s="361"/>
      <c r="CH26" s="361"/>
      <c r="CI26" s="361"/>
      <c r="CJ26" s="361"/>
      <c r="CK26" s="361"/>
      <c r="CL26" s="361"/>
      <c r="CM26" s="361"/>
      <c r="CN26" s="361"/>
      <c r="CO26" s="361"/>
      <c r="CP26" s="361"/>
      <c r="CQ26" s="361"/>
      <c r="CR26" s="361"/>
      <c r="CS26" s="361"/>
      <c r="CT26" s="361"/>
      <c r="CU26" s="361"/>
      <c r="CV26" s="361"/>
      <c r="CW26" s="361"/>
      <c r="CX26" s="361"/>
      <c r="CY26" s="361"/>
      <c r="CZ26" s="361"/>
      <c r="DA26" s="361"/>
      <c r="DB26" s="361"/>
      <c r="DC26" s="361"/>
      <c r="DD26" s="361"/>
      <c r="DE26" s="361"/>
      <c r="DF26" s="361"/>
      <c r="DG26" s="361"/>
      <c r="DH26" s="361"/>
      <c r="DI26" s="361"/>
      <c r="DJ26" s="361"/>
      <c r="DK26" s="361"/>
      <c r="DL26" s="361"/>
      <c r="DM26" s="361"/>
      <c r="DN26" s="361"/>
      <c r="DO26" s="361"/>
      <c r="DP26" s="361"/>
      <c r="DQ26" s="361"/>
      <c r="DR26" s="361"/>
      <c r="DS26" s="361"/>
      <c r="DT26" s="361"/>
      <c r="DU26" s="361"/>
      <c r="DV26" s="361"/>
      <c r="DW26" s="361"/>
      <c r="DX26" s="361"/>
      <c r="DY26" s="361"/>
      <c r="DZ26" s="361"/>
      <c r="EA26" s="361"/>
      <c r="EB26" s="361"/>
      <c r="EC26" s="361"/>
      <c r="ED26" s="361"/>
      <c r="EE26" s="361"/>
      <c r="EF26" s="361"/>
      <c r="EG26" s="361"/>
      <c r="EH26" s="361"/>
      <c r="EI26" s="361"/>
      <c r="EJ26" s="361"/>
      <c r="EK26" s="361"/>
      <c r="EL26" s="361"/>
      <c r="EM26" s="361"/>
      <c r="EN26" s="361"/>
      <c r="EO26" s="361"/>
      <c r="EP26" s="361"/>
      <c r="EQ26" s="361"/>
      <c r="ER26" s="361"/>
      <c r="ES26" s="361"/>
      <c r="ET26" s="361"/>
      <c r="EU26" s="361"/>
      <c r="EV26" s="361"/>
      <c r="EW26" s="361"/>
      <c r="EX26" s="361"/>
      <c r="EY26" s="361"/>
      <c r="EZ26" s="361"/>
      <c r="FA26" s="361"/>
      <c r="FB26" s="361"/>
      <c r="FC26" s="361"/>
      <c r="FD26" s="361"/>
      <c r="FE26" s="361"/>
      <c r="FF26" s="361"/>
      <c r="FG26" s="361"/>
      <c r="FH26" s="361"/>
      <c r="FI26" s="361"/>
      <c r="FJ26" s="361"/>
      <c r="FK26" s="361"/>
      <c r="FL26" s="361"/>
      <c r="FM26" s="361"/>
      <c r="FN26" s="361"/>
      <c r="FO26" s="361"/>
      <c r="FP26" s="361"/>
      <c r="FQ26" s="361"/>
      <c r="FR26" s="361"/>
      <c r="FS26" s="361"/>
      <c r="FT26" s="361"/>
      <c r="FU26" s="361"/>
      <c r="FV26" s="361"/>
      <c r="FW26" s="361"/>
      <c r="FX26" s="361"/>
      <c r="FY26" s="361"/>
      <c r="FZ26" s="361"/>
      <c r="GA26" s="361"/>
      <c r="GB26" s="361"/>
      <c r="GC26" s="361"/>
      <c r="GD26" s="361"/>
      <c r="GE26" s="361"/>
      <c r="GF26" s="361"/>
      <c r="GG26" s="361"/>
      <c r="GH26" s="361"/>
      <c r="GI26" s="361"/>
      <c r="GJ26" s="361"/>
      <c r="GK26" s="361"/>
      <c r="GL26" s="361"/>
      <c r="GM26" s="361"/>
      <c r="GN26" s="361"/>
      <c r="GO26" s="361"/>
      <c r="GP26" s="361"/>
      <c r="GQ26" s="361"/>
      <c r="GR26" s="361"/>
      <c r="GS26" s="361"/>
      <c r="GT26" s="361"/>
      <c r="GU26" s="361"/>
      <c r="GV26" s="361"/>
      <c r="GW26" s="361"/>
      <c r="GX26" s="361"/>
      <c r="GY26" s="361"/>
      <c r="GZ26" s="361"/>
      <c r="HA26" s="361"/>
      <c r="HB26" s="361"/>
      <c r="HC26" s="361"/>
      <c r="HD26" s="361"/>
      <c r="HE26" s="361"/>
      <c r="HF26" s="361"/>
      <c r="HG26" s="361"/>
      <c r="HH26" s="361"/>
      <c r="HI26" s="361"/>
      <c r="HJ26" s="361"/>
      <c r="HK26" s="361"/>
      <c r="HL26" s="361"/>
      <c r="HM26" s="361"/>
      <c r="HN26" s="361"/>
      <c r="HO26" s="361"/>
      <c r="HP26" s="361"/>
      <c r="HQ26" s="361"/>
      <c r="HR26" s="361"/>
      <c r="HS26" s="361"/>
      <c r="HT26" s="361"/>
      <c r="HU26" s="361"/>
      <c r="HV26" s="361"/>
      <c r="HW26" s="361"/>
      <c r="HX26" s="361"/>
      <c r="HY26" s="361"/>
      <c r="HZ26" s="361"/>
      <c r="IA26" s="361"/>
      <c r="IB26" s="361"/>
      <c r="IC26" s="361"/>
      <c r="ID26" s="361"/>
      <c r="IE26" s="361"/>
      <c r="IF26" s="361"/>
      <c r="IG26" s="361"/>
      <c r="IH26" s="361"/>
      <c r="II26" s="361"/>
      <c r="IJ26" s="361"/>
      <c r="IK26" s="361"/>
      <c r="IL26" s="361"/>
      <c r="IM26" s="361"/>
      <c r="IN26" s="361"/>
      <c r="IO26" s="361"/>
      <c r="IP26" s="385"/>
      <c r="IQ26" s="385"/>
      <c r="IR26" s="385"/>
      <c r="IS26" s="385"/>
      <c r="IT26" s="385"/>
      <c r="IU26" s="385"/>
      <c r="IV26" s="385"/>
      <c r="IW26" s="385"/>
      <c r="IX26" s="385"/>
      <c r="IY26" s="346" t="s">
        <v>130</v>
      </c>
      <c r="IZ26" s="346"/>
      <c r="JA26" s="346"/>
      <c r="JB26" s="346"/>
      <c r="JC26" s="346"/>
      <c r="JD26" s="346"/>
      <c r="JE26" s="385"/>
    </row>
    <row r="27" spans="1:265" s="179" customFormat="1" ht="19.95" customHeight="1">
      <c r="A27" s="453"/>
      <c r="B27" s="333"/>
      <c r="C27" s="328" t="s">
        <v>72</v>
      </c>
      <c r="D27" s="178"/>
      <c r="E27" s="454">
        <f>COUNTIFS(Table1351452010[[#All],[Sales]],"คุณแดง มูลสองแคว",Table1351452010[[#All],[ค่าเชื่อมสัญญาณ/
ค่าติดตั้ง/
ค่าขายอุปกรณ์]],"&gt;1")</f>
        <v>0</v>
      </c>
      <c r="F27" s="455">
        <f>SUMIF(Table1351452010[[#All],[Sales]],"คุณแดง มูลสองแคว",Table1351452010[[#All],[Total
ค่าเชื่มสัญญาณ/ค่าติดตั้ง/
ค่าขายอุปกรณ์
(2)]])</f>
        <v>0</v>
      </c>
      <c r="G27" s="434">
        <v>0</v>
      </c>
      <c r="H27" s="436">
        <f t="shared" si="2"/>
        <v>0</v>
      </c>
      <c r="I27" s="359"/>
      <c r="J27" s="359"/>
      <c r="K27" s="359"/>
      <c r="L27" s="359"/>
      <c r="M27" s="38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1"/>
      <c r="AQ27" s="361"/>
      <c r="AR27" s="361"/>
      <c r="AS27" s="361"/>
      <c r="AT27" s="361"/>
      <c r="AU27" s="361"/>
      <c r="AV27" s="361"/>
      <c r="AW27" s="361"/>
      <c r="AX27" s="361"/>
      <c r="AY27" s="361"/>
      <c r="AZ27" s="361"/>
      <c r="BA27" s="361"/>
      <c r="BB27" s="361"/>
      <c r="BC27" s="361"/>
      <c r="BD27" s="361"/>
      <c r="BE27" s="361"/>
      <c r="BF27" s="361"/>
      <c r="BG27" s="361"/>
      <c r="BH27" s="361"/>
      <c r="BI27" s="361"/>
      <c r="BJ27" s="361"/>
      <c r="BK27" s="361"/>
      <c r="BL27" s="361"/>
      <c r="BM27" s="361"/>
      <c r="BN27" s="361"/>
      <c r="BO27" s="361"/>
      <c r="BP27" s="361"/>
      <c r="BQ27" s="361"/>
      <c r="BR27" s="361"/>
      <c r="BS27" s="361"/>
      <c r="BT27" s="361"/>
      <c r="BU27" s="361"/>
      <c r="BV27" s="361"/>
      <c r="BW27" s="361"/>
      <c r="BX27" s="361"/>
      <c r="BY27" s="361"/>
      <c r="BZ27" s="361"/>
      <c r="CA27" s="361"/>
      <c r="CB27" s="361"/>
      <c r="CC27" s="361"/>
      <c r="CD27" s="361"/>
      <c r="CE27" s="361"/>
      <c r="CF27" s="361"/>
      <c r="CG27" s="361"/>
      <c r="CH27" s="361"/>
      <c r="CI27" s="361"/>
      <c r="CJ27" s="361"/>
      <c r="CK27" s="361"/>
      <c r="CL27" s="361"/>
      <c r="CM27" s="361"/>
      <c r="CN27" s="361"/>
      <c r="CO27" s="361"/>
      <c r="CP27" s="361"/>
      <c r="CQ27" s="361"/>
      <c r="CR27" s="361"/>
      <c r="CS27" s="361"/>
      <c r="CT27" s="361"/>
      <c r="CU27" s="361"/>
      <c r="CV27" s="361"/>
      <c r="CW27" s="361"/>
      <c r="CX27" s="361"/>
      <c r="CY27" s="361"/>
      <c r="CZ27" s="361"/>
      <c r="DA27" s="361"/>
      <c r="DB27" s="361"/>
      <c r="DC27" s="361"/>
      <c r="DD27" s="361"/>
      <c r="DE27" s="361"/>
      <c r="DF27" s="361"/>
      <c r="DG27" s="361"/>
      <c r="DH27" s="361"/>
      <c r="DI27" s="361"/>
      <c r="DJ27" s="361"/>
      <c r="DK27" s="361"/>
      <c r="DL27" s="361"/>
      <c r="DM27" s="361"/>
      <c r="DN27" s="361"/>
      <c r="DO27" s="361"/>
      <c r="DP27" s="361"/>
      <c r="DQ27" s="361"/>
      <c r="DR27" s="361"/>
      <c r="DS27" s="361"/>
      <c r="DT27" s="361"/>
      <c r="DU27" s="361"/>
      <c r="DV27" s="361"/>
      <c r="DW27" s="361"/>
      <c r="DX27" s="361"/>
      <c r="DY27" s="361"/>
      <c r="DZ27" s="361"/>
      <c r="EA27" s="361"/>
      <c r="EB27" s="361"/>
      <c r="EC27" s="361"/>
      <c r="ED27" s="361"/>
      <c r="EE27" s="361"/>
      <c r="EF27" s="361"/>
      <c r="EG27" s="361"/>
      <c r="EH27" s="361"/>
      <c r="EI27" s="361"/>
      <c r="EJ27" s="361"/>
      <c r="EK27" s="361"/>
      <c r="EL27" s="361"/>
      <c r="EM27" s="361"/>
      <c r="EN27" s="361"/>
      <c r="EO27" s="361"/>
      <c r="EP27" s="361"/>
      <c r="EQ27" s="361"/>
      <c r="ER27" s="361"/>
      <c r="ES27" s="361"/>
      <c r="ET27" s="361"/>
      <c r="EU27" s="361"/>
      <c r="EV27" s="361"/>
      <c r="EW27" s="361"/>
      <c r="EX27" s="361"/>
      <c r="EY27" s="361"/>
      <c r="EZ27" s="361"/>
      <c r="FA27" s="361"/>
      <c r="FB27" s="361"/>
      <c r="FC27" s="361"/>
      <c r="FD27" s="361"/>
      <c r="FE27" s="361"/>
      <c r="FF27" s="361"/>
      <c r="FG27" s="361"/>
      <c r="FH27" s="361"/>
      <c r="FI27" s="361"/>
      <c r="FJ27" s="361"/>
      <c r="FK27" s="361"/>
      <c r="FL27" s="361"/>
      <c r="FM27" s="361"/>
      <c r="FN27" s="361"/>
      <c r="FO27" s="361"/>
      <c r="FP27" s="361"/>
      <c r="FQ27" s="361"/>
      <c r="FR27" s="361"/>
      <c r="FS27" s="361"/>
      <c r="FT27" s="361"/>
      <c r="FU27" s="361"/>
      <c r="FV27" s="361"/>
      <c r="FW27" s="361"/>
      <c r="FX27" s="361"/>
      <c r="FY27" s="361"/>
      <c r="FZ27" s="361"/>
      <c r="GA27" s="361"/>
      <c r="GB27" s="361"/>
      <c r="GC27" s="361"/>
      <c r="GD27" s="361"/>
      <c r="GE27" s="361"/>
      <c r="GF27" s="361"/>
      <c r="GG27" s="361"/>
      <c r="GH27" s="361"/>
      <c r="GI27" s="361"/>
      <c r="GJ27" s="361"/>
      <c r="GK27" s="361"/>
      <c r="GL27" s="361"/>
      <c r="GM27" s="361"/>
      <c r="GN27" s="361"/>
      <c r="GO27" s="361"/>
      <c r="GP27" s="361"/>
      <c r="GQ27" s="361"/>
      <c r="GR27" s="361"/>
      <c r="GS27" s="361"/>
      <c r="GT27" s="361"/>
      <c r="GU27" s="361"/>
      <c r="GV27" s="361"/>
      <c r="GW27" s="361"/>
      <c r="GX27" s="361"/>
      <c r="GY27" s="361"/>
      <c r="GZ27" s="361"/>
      <c r="HA27" s="361"/>
      <c r="HB27" s="361"/>
      <c r="HC27" s="361"/>
      <c r="HD27" s="361"/>
      <c r="HE27" s="361"/>
      <c r="HF27" s="361"/>
      <c r="HG27" s="361"/>
      <c r="HH27" s="361"/>
      <c r="HI27" s="361"/>
      <c r="HJ27" s="361"/>
      <c r="HK27" s="361"/>
      <c r="HL27" s="361"/>
      <c r="HM27" s="361"/>
      <c r="HN27" s="361"/>
      <c r="HO27" s="361"/>
      <c r="HP27" s="361"/>
      <c r="HQ27" s="361"/>
      <c r="HR27" s="361"/>
      <c r="HS27" s="361"/>
      <c r="HT27" s="361"/>
      <c r="HU27" s="361"/>
      <c r="HV27" s="361"/>
      <c r="HW27" s="361"/>
      <c r="HX27" s="361"/>
      <c r="HY27" s="361"/>
      <c r="HZ27" s="361"/>
      <c r="IA27" s="361"/>
      <c r="IB27" s="361"/>
      <c r="IC27" s="361"/>
      <c r="ID27" s="361"/>
      <c r="IE27" s="361"/>
      <c r="IF27" s="361"/>
      <c r="IG27" s="361"/>
      <c r="IH27" s="361"/>
      <c r="II27" s="361"/>
      <c r="IJ27" s="361"/>
      <c r="IK27" s="361"/>
      <c r="IL27" s="361"/>
      <c r="IM27" s="361"/>
      <c r="IN27" s="361"/>
      <c r="IO27" s="361"/>
      <c r="IP27" s="385"/>
      <c r="IQ27" s="385"/>
      <c r="IR27" s="385"/>
      <c r="IS27" s="385"/>
      <c r="IT27" s="385"/>
      <c r="IU27" s="385"/>
      <c r="IV27" s="385"/>
      <c r="IW27" s="385"/>
      <c r="IX27" s="385"/>
      <c r="IY27" s="346" t="s">
        <v>153</v>
      </c>
      <c r="IZ27" s="346"/>
      <c r="JA27" s="346"/>
      <c r="JB27" s="346"/>
      <c r="JC27" s="346"/>
      <c r="JD27" s="346"/>
      <c r="JE27" s="385"/>
    </row>
    <row r="28" spans="1:265" s="179" customFormat="1" ht="19.95" customHeight="1">
      <c r="A28" s="453"/>
      <c r="B28" s="334"/>
      <c r="C28" s="328" t="s">
        <v>68</v>
      </c>
      <c r="D28" s="178"/>
      <c r="E28" s="454">
        <f>COUNTIFS(Table1351452010[[#All],[Sales]],"คุณศศินาถ จุ้ยอยู่ทอง",Table1351452010[[#All],[ค่าเชื่อมสัญญาณ/
ค่าติดตั้ง/
ค่าขายอุปกรณ์]],"&gt;1")</f>
        <v>0</v>
      </c>
      <c r="F28" s="455">
        <f>SUMIF(Table1351452010[[#All],[Sales]],"คุณศศินาถ จุ้ยอยู่ทอง",Table1351452010[[#All],[Total
ค่าเชื่มสัญญาณ/ค่าติดตั้ง/
ค่าขายอุปกรณ์
(2)]])</f>
        <v>0</v>
      </c>
      <c r="G28" s="434">
        <v>0</v>
      </c>
      <c r="H28" s="436">
        <f t="shared" si="2"/>
        <v>0</v>
      </c>
      <c r="I28" s="359"/>
      <c r="J28" s="359"/>
      <c r="K28" s="359"/>
      <c r="L28" s="359"/>
      <c r="M28" s="38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1"/>
      <c r="AQ28" s="361"/>
      <c r="AR28" s="361"/>
      <c r="AS28" s="361"/>
      <c r="AT28" s="361"/>
      <c r="AU28" s="361"/>
      <c r="AV28" s="361"/>
      <c r="AW28" s="361"/>
      <c r="AX28" s="361"/>
      <c r="AY28" s="361"/>
      <c r="AZ28" s="361"/>
      <c r="BA28" s="361"/>
      <c r="BB28" s="361"/>
      <c r="BC28" s="361"/>
      <c r="BD28" s="361"/>
      <c r="BE28" s="361"/>
      <c r="BF28" s="361"/>
      <c r="BG28" s="361"/>
      <c r="BH28" s="361"/>
      <c r="BI28" s="361"/>
      <c r="BJ28" s="361"/>
      <c r="BK28" s="361"/>
      <c r="BL28" s="361"/>
      <c r="BM28" s="361"/>
      <c r="BN28" s="361"/>
      <c r="BO28" s="361"/>
      <c r="BP28" s="361"/>
      <c r="BQ28" s="361"/>
      <c r="BR28" s="361"/>
      <c r="BS28" s="361"/>
      <c r="BT28" s="361"/>
      <c r="BU28" s="361"/>
      <c r="BV28" s="361"/>
      <c r="BW28" s="361"/>
      <c r="BX28" s="361"/>
      <c r="BY28" s="361"/>
      <c r="BZ28" s="361"/>
      <c r="CA28" s="361"/>
      <c r="CB28" s="361"/>
      <c r="CC28" s="361"/>
      <c r="CD28" s="361"/>
      <c r="CE28" s="361"/>
      <c r="CF28" s="361"/>
      <c r="CG28" s="361"/>
      <c r="CH28" s="361"/>
      <c r="CI28" s="361"/>
      <c r="CJ28" s="361"/>
      <c r="CK28" s="361"/>
      <c r="CL28" s="361"/>
      <c r="CM28" s="361"/>
      <c r="CN28" s="361"/>
      <c r="CO28" s="361"/>
      <c r="CP28" s="361"/>
      <c r="CQ28" s="361"/>
      <c r="CR28" s="361"/>
      <c r="CS28" s="361"/>
      <c r="CT28" s="361"/>
      <c r="CU28" s="361"/>
      <c r="CV28" s="361"/>
      <c r="CW28" s="361"/>
      <c r="CX28" s="361"/>
      <c r="CY28" s="361"/>
      <c r="CZ28" s="361"/>
      <c r="DA28" s="361"/>
      <c r="DB28" s="361"/>
      <c r="DC28" s="361"/>
      <c r="DD28" s="361"/>
      <c r="DE28" s="361"/>
      <c r="DF28" s="361"/>
      <c r="DG28" s="361"/>
      <c r="DH28" s="361"/>
      <c r="DI28" s="361"/>
      <c r="DJ28" s="361"/>
      <c r="DK28" s="361"/>
      <c r="DL28" s="361"/>
      <c r="DM28" s="361"/>
      <c r="DN28" s="361"/>
      <c r="DO28" s="361"/>
      <c r="DP28" s="361"/>
      <c r="DQ28" s="361"/>
      <c r="DR28" s="361"/>
      <c r="DS28" s="361"/>
      <c r="DT28" s="361"/>
      <c r="DU28" s="361"/>
      <c r="DV28" s="361"/>
      <c r="DW28" s="361"/>
      <c r="DX28" s="361"/>
      <c r="DY28" s="361"/>
      <c r="DZ28" s="361"/>
      <c r="EA28" s="361"/>
      <c r="EB28" s="361"/>
      <c r="EC28" s="361"/>
      <c r="ED28" s="361"/>
      <c r="EE28" s="361"/>
      <c r="EF28" s="361"/>
      <c r="EG28" s="361"/>
      <c r="EH28" s="361"/>
      <c r="EI28" s="361"/>
      <c r="EJ28" s="361"/>
      <c r="EK28" s="361"/>
      <c r="EL28" s="361"/>
      <c r="EM28" s="361"/>
      <c r="EN28" s="361"/>
      <c r="EO28" s="361"/>
      <c r="EP28" s="361"/>
      <c r="EQ28" s="361"/>
      <c r="ER28" s="361"/>
      <c r="ES28" s="361"/>
      <c r="ET28" s="361"/>
      <c r="EU28" s="361"/>
      <c r="EV28" s="361"/>
      <c r="EW28" s="361"/>
      <c r="EX28" s="361"/>
      <c r="EY28" s="361"/>
      <c r="EZ28" s="361"/>
      <c r="FA28" s="361"/>
      <c r="FB28" s="361"/>
      <c r="FC28" s="361"/>
      <c r="FD28" s="361"/>
      <c r="FE28" s="361"/>
      <c r="FF28" s="361"/>
      <c r="FG28" s="361"/>
      <c r="FH28" s="361"/>
      <c r="FI28" s="361"/>
      <c r="FJ28" s="361"/>
      <c r="FK28" s="361"/>
      <c r="FL28" s="361"/>
      <c r="FM28" s="361"/>
      <c r="FN28" s="361"/>
      <c r="FO28" s="361"/>
      <c r="FP28" s="361"/>
      <c r="FQ28" s="361"/>
      <c r="FR28" s="361"/>
      <c r="FS28" s="361"/>
      <c r="FT28" s="361"/>
      <c r="FU28" s="361"/>
      <c r="FV28" s="361"/>
      <c r="FW28" s="361"/>
      <c r="FX28" s="361"/>
      <c r="FY28" s="361"/>
      <c r="FZ28" s="361"/>
      <c r="GA28" s="361"/>
      <c r="GB28" s="361"/>
      <c r="GC28" s="361"/>
      <c r="GD28" s="361"/>
      <c r="GE28" s="361"/>
      <c r="GF28" s="361"/>
      <c r="GG28" s="361"/>
      <c r="GH28" s="361"/>
      <c r="GI28" s="361"/>
      <c r="GJ28" s="361"/>
      <c r="GK28" s="361"/>
      <c r="GL28" s="361"/>
      <c r="GM28" s="361"/>
      <c r="GN28" s="361"/>
      <c r="GO28" s="361"/>
      <c r="GP28" s="361"/>
      <c r="GQ28" s="361"/>
      <c r="GR28" s="361"/>
      <c r="GS28" s="361"/>
      <c r="GT28" s="361"/>
      <c r="GU28" s="361"/>
      <c r="GV28" s="361"/>
      <c r="GW28" s="361"/>
      <c r="GX28" s="361"/>
      <c r="GY28" s="361"/>
      <c r="GZ28" s="361"/>
      <c r="HA28" s="361"/>
      <c r="HB28" s="361"/>
      <c r="HC28" s="361"/>
      <c r="HD28" s="361"/>
      <c r="HE28" s="361"/>
      <c r="HF28" s="361"/>
      <c r="HG28" s="361"/>
      <c r="HH28" s="361"/>
      <c r="HI28" s="361"/>
      <c r="HJ28" s="361"/>
      <c r="HK28" s="361"/>
      <c r="HL28" s="361"/>
      <c r="HM28" s="361"/>
      <c r="HN28" s="361"/>
      <c r="HO28" s="361"/>
      <c r="HP28" s="361"/>
      <c r="HQ28" s="361"/>
      <c r="HR28" s="361"/>
      <c r="HS28" s="361"/>
      <c r="HT28" s="361"/>
      <c r="HU28" s="361"/>
      <c r="HV28" s="361"/>
      <c r="HW28" s="361"/>
      <c r="HX28" s="361"/>
      <c r="HY28" s="361"/>
      <c r="HZ28" s="361"/>
      <c r="IA28" s="361"/>
      <c r="IB28" s="361"/>
      <c r="IC28" s="361"/>
      <c r="ID28" s="361"/>
      <c r="IE28" s="361"/>
      <c r="IF28" s="361"/>
      <c r="IG28" s="361"/>
      <c r="IH28" s="361"/>
      <c r="II28" s="361"/>
      <c r="IJ28" s="361"/>
      <c r="IK28" s="361"/>
      <c r="IL28" s="361"/>
      <c r="IM28" s="361"/>
      <c r="IN28" s="361"/>
      <c r="IO28" s="361"/>
      <c r="IP28" s="385"/>
      <c r="IQ28" s="385"/>
      <c r="IR28" s="385"/>
      <c r="IS28" s="385"/>
      <c r="IT28" s="385"/>
      <c r="IU28" s="385"/>
      <c r="IV28" s="385"/>
      <c r="IW28" s="385"/>
      <c r="IX28" s="385"/>
      <c r="IY28" s="346" t="s">
        <v>72</v>
      </c>
      <c r="IZ28" s="346"/>
      <c r="JA28" s="346"/>
      <c r="JB28" s="346"/>
      <c r="JC28" s="346"/>
      <c r="JD28" s="346"/>
      <c r="JE28" s="385"/>
    </row>
    <row r="29" spans="1:265" s="179" customFormat="1" ht="19.95" customHeight="1">
      <c r="A29" s="453"/>
      <c r="B29" s="335"/>
      <c r="C29" s="328" t="s">
        <v>67</v>
      </c>
      <c r="D29" s="178"/>
      <c r="E29" s="454">
        <f>COUNTIFS(Table1351452010[[#All],[Sales]],"คุณรุ่งอรุณ อินบุญรอด",Table1351452010[[#All],[ค่าเชื่อมสัญญาณ/
ค่าติดตั้ง/
ค่าขายอุปกรณ์]],"&gt;1")</f>
        <v>0</v>
      </c>
      <c r="F29" s="455">
        <f>SUMIF(Table1351452010[[#All],[Sales]],"คุณรุ่งอรุณ อินบุญรอด",Table1351452010[[#All],[Total
ค่าเชื่มสัญญาณ/ค่าติดตั้ง/
ค่าขายอุปกรณ์
(2)]])</f>
        <v>0</v>
      </c>
      <c r="G29" s="434">
        <v>0</v>
      </c>
      <c r="H29" s="436">
        <f t="shared" si="2"/>
        <v>0</v>
      </c>
      <c r="I29" s="359"/>
      <c r="J29" s="359"/>
      <c r="K29" s="359"/>
      <c r="L29" s="359"/>
      <c r="M29" s="381"/>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361"/>
      <c r="AL29" s="361"/>
      <c r="AM29" s="361"/>
      <c r="AN29" s="361"/>
      <c r="AO29" s="361"/>
      <c r="AP29" s="361"/>
      <c r="AQ29" s="361"/>
      <c r="AR29" s="361"/>
      <c r="AS29" s="361"/>
      <c r="AT29" s="361"/>
      <c r="AU29" s="361"/>
      <c r="AV29" s="361"/>
      <c r="AW29" s="361"/>
      <c r="AX29" s="361"/>
      <c r="AY29" s="361"/>
      <c r="AZ29" s="361"/>
      <c r="BA29" s="361"/>
      <c r="BB29" s="361"/>
      <c r="BC29" s="361"/>
      <c r="BD29" s="361"/>
      <c r="BE29" s="361"/>
      <c r="BF29" s="361"/>
      <c r="BG29" s="361"/>
      <c r="BH29" s="361"/>
      <c r="BI29" s="361"/>
      <c r="BJ29" s="361"/>
      <c r="BK29" s="361"/>
      <c r="BL29" s="361"/>
      <c r="BM29" s="361"/>
      <c r="BN29" s="361"/>
      <c r="BO29" s="361"/>
      <c r="BP29" s="361"/>
      <c r="BQ29" s="361"/>
      <c r="BR29" s="361"/>
      <c r="BS29" s="361"/>
      <c r="BT29" s="361"/>
      <c r="BU29" s="361"/>
      <c r="BV29" s="361"/>
      <c r="BW29" s="361"/>
      <c r="BX29" s="361"/>
      <c r="BY29" s="361"/>
      <c r="BZ29" s="361"/>
      <c r="CA29" s="361"/>
      <c r="CB29" s="361"/>
      <c r="CC29" s="361"/>
      <c r="CD29" s="361"/>
      <c r="CE29" s="361"/>
      <c r="CF29" s="361"/>
      <c r="CG29" s="361"/>
      <c r="CH29" s="361"/>
      <c r="CI29" s="361"/>
      <c r="CJ29" s="361"/>
      <c r="CK29" s="361"/>
      <c r="CL29" s="361"/>
      <c r="CM29" s="361"/>
      <c r="CN29" s="361"/>
      <c r="CO29" s="361"/>
      <c r="CP29" s="361"/>
      <c r="CQ29" s="361"/>
      <c r="CR29" s="361"/>
      <c r="CS29" s="361"/>
      <c r="CT29" s="361"/>
      <c r="CU29" s="361"/>
      <c r="CV29" s="361"/>
      <c r="CW29" s="361"/>
      <c r="CX29" s="361"/>
      <c r="CY29" s="361"/>
      <c r="CZ29" s="361"/>
      <c r="DA29" s="361"/>
      <c r="DB29" s="361"/>
      <c r="DC29" s="361"/>
      <c r="DD29" s="361"/>
      <c r="DE29" s="361"/>
      <c r="DF29" s="361"/>
      <c r="DG29" s="361"/>
      <c r="DH29" s="361"/>
      <c r="DI29" s="361"/>
      <c r="DJ29" s="361"/>
      <c r="DK29" s="361"/>
      <c r="DL29" s="361"/>
      <c r="DM29" s="361"/>
      <c r="DN29" s="361"/>
      <c r="DO29" s="361"/>
      <c r="DP29" s="361"/>
      <c r="DQ29" s="361"/>
      <c r="DR29" s="361"/>
      <c r="DS29" s="361"/>
      <c r="DT29" s="361"/>
      <c r="DU29" s="361"/>
      <c r="DV29" s="361"/>
      <c r="DW29" s="361"/>
      <c r="DX29" s="361"/>
      <c r="DY29" s="361"/>
      <c r="DZ29" s="361"/>
      <c r="EA29" s="361"/>
      <c r="EB29" s="361"/>
      <c r="EC29" s="361"/>
      <c r="ED29" s="361"/>
      <c r="EE29" s="361"/>
      <c r="EF29" s="361"/>
      <c r="EG29" s="361"/>
      <c r="EH29" s="361"/>
      <c r="EI29" s="361"/>
      <c r="EJ29" s="361"/>
      <c r="EK29" s="361"/>
      <c r="EL29" s="361"/>
      <c r="EM29" s="361"/>
      <c r="EN29" s="361"/>
      <c r="EO29" s="361"/>
      <c r="EP29" s="361"/>
      <c r="EQ29" s="361"/>
      <c r="ER29" s="361"/>
      <c r="ES29" s="361"/>
      <c r="ET29" s="361"/>
      <c r="EU29" s="361"/>
      <c r="EV29" s="361"/>
      <c r="EW29" s="361"/>
      <c r="EX29" s="361"/>
      <c r="EY29" s="361"/>
      <c r="EZ29" s="361"/>
      <c r="FA29" s="361"/>
      <c r="FB29" s="361"/>
      <c r="FC29" s="361"/>
      <c r="FD29" s="361"/>
      <c r="FE29" s="361"/>
      <c r="FF29" s="361"/>
      <c r="FG29" s="361"/>
      <c r="FH29" s="361"/>
      <c r="FI29" s="361"/>
      <c r="FJ29" s="361"/>
      <c r="FK29" s="361"/>
      <c r="FL29" s="361"/>
      <c r="FM29" s="361"/>
      <c r="FN29" s="361"/>
      <c r="FO29" s="361"/>
      <c r="FP29" s="361"/>
      <c r="FQ29" s="361"/>
      <c r="FR29" s="361"/>
      <c r="FS29" s="361"/>
      <c r="FT29" s="361"/>
      <c r="FU29" s="361"/>
      <c r="FV29" s="361"/>
      <c r="FW29" s="361"/>
      <c r="FX29" s="361"/>
      <c r="FY29" s="361"/>
      <c r="FZ29" s="361"/>
      <c r="GA29" s="361"/>
      <c r="GB29" s="361"/>
      <c r="GC29" s="361"/>
      <c r="GD29" s="361"/>
      <c r="GE29" s="361"/>
      <c r="GF29" s="361"/>
      <c r="GG29" s="361"/>
      <c r="GH29" s="361"/>
      <c r="GI29" s="361"/>
      <c r="GJ29" s="361"/>
      <c r="GK29" s="361"/>
      <c r="GL29" s="361"/>
      <c r="GM29" s="361"/>
      <c r="GN29" s="361"/>
      <c r="GO29" s="361"/>
      <c r="GP29" s="361"/>
      <c r="GQ29" s="361"/>
      <c r="GR29" s="361"/>
      <c r="GS29" s="361"/>
      <c r="GT29" s="361"/>
      <c r="GU29" s="361"/>
      <c r="GV29" s="361"/>
      <c r="GW29" s="361"/>
      <c r="GX29" s="361"/>
      <c r="GY29" s="361"/>
      <c r="GZ29" s="361"/>
      <c r="HA29" s="361"/>
      <c r="HB29" s="361"/>
      <c r="HC29" s="361"/>
      <c r="HD29" s="361"/>
      <c r="HE29" s="361"/>
      <c r="HF29" s="361"/>
      <c r="HG29" s="361"/>
      <c r="HH29" s="361"/>
      <c r="HI29" s="361"/>
      <c r="HJ29" s="361"/>
      <c r="HK29" s="361"/>
      <c r="HL29" s="361"/>
      <c r="HM29" s="361"/>
      <c r="HN29" s="361"/>
      <c r="HO29" s="361"/>
      <c r="HP29" s="361"/>
      <c r="HQ29" s="361"/>
      <c r="HR29" s="361"/>
      <c r="HS29" s="361"/>
      <c r="HT29" s="361"/>
      <c r="HU29" s="361"/>
      <c r="HV29" s="361"/>
      <c r="HW29" s="361"/>
      <c r="HX29" s="361"/>
      <c r="HY29" s="361"/>
      <c r="HZ29" s="361"/>
      <c r="IA29" s="361"/>
      <c r="IB29" s="361"/>
      <c r="IC29" s="361"/>
      <c r="ID29" s="361"/>
      <c r="IE29" s="361"/>
      <c r="IF29" s="361"/>
      <c r="IG29" s="361"/>
      <c r="IH29" s="361"/>
      <c r="II29" s="361"/>
      <c r="IJ29" s="361"/>
      <c r="IK29" s="361"/>
      <c r="IL29" s="361"/>
      <c r="IM29" s="361"/>
      <c r="IN29" s="361"/>
      <c r="IO29" s="361"/>
      <c r="IP29" s="385"/>
      <c r="IQ29" s="385"/>
      <c r="IR29" s="385"/>
      <c r="IS29" s="385"/>
      <c r="IT29" s="385"/>
      <c r="IU29" s="385"/>
      <c r="IV29" s="385"/>
      <c r="IW29" s="385"/>
      <c r="IX29" s="385"/>
      <c r="IY29" s="346" t="s">
        <v>68</v>
      </c>
      <c r="IZ29" s="346"/>
      <c r="JA29" s="346"/>
      <c r="JB29" s="346"/>
      <c r="JC29" s="346"/>
      <c r="JD29" s="346"/>
      <c r="JE29" s="385"/>
    </row>
    <row r="30" spans="1:265" s="179" customFormat="1" ht="19.95" customHeight="1">
      <c r="A30" s="453"/>
      <c r="B30" s="335"/>
      <c r="C30" s="328" t="s">
        <v>69</v>
      </c>
      <c r="D30" s="178"/>
      <c r="E30" s="454">
        <f>COUNTIFS(Table1351452010[[#All],[Sales]],"คุณธัญลักษณ์ หมื่นหลุบกุง",Table1351452010[[#All],[ค่าเชื่อมสัญญาณ/
ค่าติดตั้ง/
ค่าขายอุปกรณ์]],"&gt;1")</f>
        <v>0</v>
      </c>
      <c r="F30" s="455">
        <f>SUMIF(Table1351452010[[#All],[Sales]],"คุณธัญลักษณ์ หมื่นหลุบกุง",Table1351452010[[#All],[Total
ค่าเชื่มสัญญาณ/ค่าติดตั้ง/
ค่าขายอุปกรณ์
(2)]])</f>
        <v>0</v>
      </c>
      <c r="G30" s="434">
        <v>0</v>
      </c>
      <c r="H30" s="436">
        <f t="shared" si="2"/>
        <v>0</v>
      </c>
      <c r="I30" s="359"/>
      <c r="J30" s="359"/>
      <c r="K30" s="359"/>
      <c r="L30" s="359"/>
      <c r="M30" s="38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M30" s="361"/>
      <c r="AN30" s="361"/>
      <c r="AO30" s="361"/>
      <c r="AP30" s="361"/>
      <c r="AQ30" s="361"/>
      <c r="AR30" s="361"/>
      <c r="AS30" s="361"/>
      <c r="AT30" s="361"/>
      <c r="AU30" s="361"/>
      <c r="AV30" s="361"/>
      <c r="AW30" s="361"/>
      <c r="AX30" s="361"/>
      <c r="AY30" s="361"/>
      <c r="AZ30" s="361"/>
      <c r="BA30" s="361"/>
      <c r="BB30" s="361"/>
      <c r="BC30" s="361"/>
      <c r="BD30" s="361"/>
      <c r="BE30" s="361"/>
      <c r="BF30" s="361"/>
      <c r="BG30" s="361"/>
      <c r="BH30" s="361"/>
      <c r="BI30" s="361"/>
      <c r="BJ30" s="361"/>
      <c r="BK30" s="361"/>
      <c r="BL30" s="361"/>
      <c r="BM30" s="361"/>
      <c r="BN30" s="361"/>
      <c r="BO30" s="361"/>
      <c r="BP30" s="361"/>
      <c r="BQ30" s="361"/>
      <c r="BR30" s="361"/>
      <c r="BS30" s="361"/>
      <c r="BT30" s="361"/>
      <c r="BU30" s="361"/>
      <c r="BV30" s="361"/>
      <c r="BW30" s="361"/>
      <c r="BX30" s="361"/>
      <c r="BY30" s="361"/>
      <c r="BZ30" s="361"/>
      <c r="CA30" s="361"/>
      <c r="CB30" s="361"/>
      <c r="CC30" s="361"/>
      <c r="CD30" s="361"/>
      <c r="CE30" s="361"/>
      <c r="CF30" s="361"/>
      <c r="CG30" s="361"/>
      <c r="CH30" s="361"/>
      <c r="CI30" s="361"/>
      <c r="CJ30" s="361"/>
      <c r="CK30" s="361"/>
      <c r="CL30" s="361"/>
      <c r="CM30" s="361"/>
      <c r="CN30" s="361"/>
      <c r="CO30" s="361"/>
      <c r="CP30" s="361"/>
      <c r="CQ30" s="361"/>
      <c r="CR30" s="361"/>
      <c r="CS30" s="361"/>
      <c r="CT30" s="361"/>
      <c r="CU30" s="361"/>
      <c r="CV30" s="361"/>
      <c r="CW30" s="361"/>
      <c r="CX30" s="361"/>
      <c r="CY30" s="361"/>
      <c r="CZ30" s="361"/>
      <c r="DA30" s="361"/>
      <c r="DB30" s="361"/>
      <c r="DC30" s="361"/>
      <c r="DD30" s="361"/>
      <c r="DE30" s="361"/>
      <c r="DF30" s="361"/>
      <c r="DG30" s="361"/>
      <c r="DH30" s="361"/>
      <c r="DI30" s="361"/>
      <c r="DJ30" s="361"/>
      <c r="DK30" s="361"/>
      <c r="DL30" s="361"/>
      <c r="DM30" s="361"/>
      <c r="DN30" s="361"/>
      <c r="DO30" s="361"/>
      <c r="DP30" s="361"/>
      <c r="DQ30" s="361"/>
      <c r="DR30" s="361"/>
      <c r="DS30" s="361"/>
      <c r="DT30" s="361"/>
      <c r="DU30" s="361"/>
      <c r="DV30" s="361"/>
      <c r="DW30" s="361"/>
      <c r="DX30" s="361"/>
      <c r="DY30" s="361"/>
      <c r="DZ30" s="361"/>
      <c r="EA30" s="361"/>
      <c r="EB30" s="361"/>
      <c r="EC30" s="361"/>
      <c r="ED30" s="361"/>
      <c r="EE30" s="361"/>
      <c r="EF30" s="361"/>
      <c r="EG30" s="361"/>
      <c r="EH30" s="361"/>
      <c r="EI30" s="361"/>
      <c r="EJ30" s="361"/>
      <c r="EK30" s="361"/>
      <c r="EL30" s="361"/>
      <c r="EM30" s="361"/>
      <c r="EN30" s="361"/>
      <c r="EO30" s="361"/>
      <c r="EP30" s="361"/>
      <c r="EQ30" s="361"/>
      <c r="ER30" s="361"/>
      <c r="ES30" s="361"/>
      <c r="ET30" s="361"/>
      <c r="EU30" s="361"/>
      <c r="EV30" s="361"/>
      <c r="EW30" s="361"/>
      <c r="EX30" s="361"/>
      <c r="EY30" s="361"/>
      <c r="EZ30" s="361"/>
      <c r="FA30" s="361"/>
      <c r="FB30" s="361"/>
      <c r="FC30" s="361"/>
      <c r="FD30" s="361"/>
      <c r="FE30" s="361"/>
      <c r="FF30" s="361"/>
      <c r="FG30" s="361"/>
      <c r="FH30" s="361"/>
      <c r="FI30" s="361"/>
      <c r="FJ30" s="361"/>
      <c r="FK30" s="361"/>
      <c r="FL30" s="361"/>
      <c r="FM30" s="361"/>
      <c r="FN30" s="361"/>
      <c r="FO30" s="361"/>
      <c r="FP30" s="361"/>
      <c r="FQ30" s="361"/>
      <c r="FR30" s="361"/>
      <c r="FS30" s="361"/>
      <c r="FT30" s="361"/>
      <c r="FU30" s="361"/>
      <c r="FV30" s="361"/>
      <c r="FW30" s="361"/>
      <c r="FX30" s="361"/>
      <c r="FY30" s="361"/>
      <c r="FZ30" s="361"/>
      <c r="GA30" s="361"/>
      <c r="GB30" s="361"/>
      <c r="GC30" s="361"/>
      <c r="GD30" s="361"/>
      <c r="GE30" s="361"/>
      <c r="GF30" s="361"/>
      <c r="GG30" s="361"/>
      <c r="GH30" s="361"/>
      <c r="GI30" s="361"/>
      <c r="GJ30" s="361"/>
      <c r="GK30" s="361"/>
      <c r="GL30" s="361"/>
      <c r="GM30" s="361"/>
      <c r="GN30" s="361"/>
      <c r="GO30" s="361"/>
      <c r="GP30" s="361"/>
      <c r="GQ30" s="361"/>
      <c r="GR30" s="361"/>
      <c r="GS30" s="361"/>
      <c r="GT30" s="361"/>
      <c r="GU30" s="361"/>
      <c r="GV30" s="361"/>
      <c r="GW30" s="361"/>
      <c r="GX30" s="361"/>
      <c r="GY30" s="361"/>
      <c r="GZ30" s="361"/>
      <c r="HA30" s="361"/>
      <c r="HB30" s="361"/>
      <c r="HC30" s="361"/>
      <c r="HD30" s="361"/>
      <c r="HE30" s="361"/>
      <c r="HF30" s="361"/>
      <c r="HG30" s="361"/>
      <c r="HH30" s="361"/>
      <c r="HI30" s="361"/>
      <c r="HJ30" s="361"/>
      <c r="HK30" s="361"/>
      <c r="HL30" s="361"/>
      <c r="HM30" s="361"/>
      <c r="HN30" s="361"/>
      <c r="HO30" s="361"/>
      <c r="HP30" s="361"/>
      <c r="HQ30" s="361"/>
      <c r="HR30" s="361"/>
      <c r="HS30" s="361"/>
      <c r="HT30" s="361"/>
      <c r="HU30" s="361"/>
      <c r="HV30" s="361"/>
      <c r="HW30" s="361"/>
      <c r="HX30" s="361"/>
      <c r="HY30" s="361"/>
      <c r="HZ30" s="361"/>
      <c r="IA30" s="361"/>
      <c r="IB30" s="361"/>
      <c r="IC30" s="361"/>
      <c r="ID30" s="361"/>
      <c r="IE30" s="361"/>
      <c r="IF30" s="361"/>
      <c r="IG30" s="361"/>
      <c r="IH30" s="361"/>
      <c r="II30" s="361"/>
      <c r="IJ30" s="361"/>
      <c r="IK30" s="361"/>
      <c r="IL30" s="361"/>
      <c r="IM30" s="361"/>
      <c r="IN30" s="361"/>
      <c r="IO30" s="361"/>
      <c r="IP30" s="385"/>
      <c r="IQ30" s="385"/>
      <c r="IR30" s="385"/>
      <c r="IS30" s="385"/>
      <c r="IT30" s="385"/>
      <c r="IU30" s="385"/>
      <c r="IV30" s="385"/>
      <c r="IW30" s="385"/>
      <c r="IX30" s="385"/>
      <c r="IY30" s="346" t="s">
        <v>67</v>
      </c>
      <c r="IZ30" s="346"/>
      <c r="JA30" s="346"/>
      <c r="JB30" s="346"/>
      <c r="JC30" s="346"/>
      <c r="JD30" s="346"/>
      <c r="JE30" s="385"/>
    </row>
    <row r="31" spans="1:265" s="179" customFormat="1" ht="19.95" customHeight="1">
      <c r="A31" s="453"/>
      <c r="B31" s="335"/>
      <c r="C31" s="328" t="s">
        <v>90</v>
      </c>
      <c r="D31" s="178"/>
      <c r="E31" s="454">
        <f>COUNTIFS(Table1351452010[[#All],[Sales]],"คุณณรงศ์ศักย์ เหล่ารัตนเวช",Table1351452010[[#All],[ค่าเชื่อมสัญญาณ/
ค่าติดตั้ง/
ค่าขายอุปกรณ์]],"&gt;1")</f>
        <v>0</v>
      </c>
      <c r="F31" s="455">
        <f>SUMIF(Table1351452010[[#All],[Sales]],"คุณณรงศ์ศักย์ เหล่ารัตนเวช",Table1351452010[[#All],[Total
ค่าเชื่มสัญญาณ/ค่าติดตั้ง/
ค่าขายอุปกรณ์
(2)]])</f>
        <v>0</v>
      </c>
      <c r="G31" s="434">
        <v>0</v>
      </c>
      <c r="H31" s="436">
        <f t="shared" si="2"/>
        <v>0</v>
      </c>
      <c r="I31" s="359"/>
      <c r="J31" s="359"/>
      <c r="K31" s="359"/>
      <c r="L31" s="359"/>
      <c r="M31" s="381"/>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1"/>
      <c r="AM31" s="361"/>
      <c r="AN31" s="361"/>
      <c r="AO31" s="361"/>
      <c r="AP31" s="361"/>
      <c r="AQ31" s="361"/>
      <c r="AR31" s="361"/>
      <c r="AS31" s="361"/>
      <c r="AT31" s="361"/>
      <c r="AU31" s="361"/>
      <c r="AV31" s="361"/>
      <c r="AW31" s="361"/>
      <c r="AX31" s="361"/>
      <c r="AY31" s="361"/>
      <c r="AZ31" s="361"/>
      <c r="BA31" s="361"/>
      <c r="BB31" s="361"/>
      <c r="BC31" s="361"/>
      <c r="BD31" s="361"/>
      <c r="BE31" s="361"/>
      <c r="BF31" s="361"/>
      <c r="BG31" s="361"/>
      <c r="BH31" s="361"/>
      <c r="BI31" s="361"/>
      <c r="BJ31" s="361"/>
      <c r="BK31" s="361"/>
      <c r="BL31" s="361"/>
      <c r="BM31" s="361"/>
      <c r="BN31" s="361"/>
      <c r="BO31" s="361"/>
      <c r="BP31" s="361"/>
      <c r="BQ31" s="361"/>
      <c r="BR31" s="361"/>
      <c r="BS31" s="361"/>
      <c r="BT31" s="361"/>
      <c r="BU31" s="361"/>
      <c r="BV31" s="361"/>
      <c r="BW31" s="361"/>
      <c r="BX31" s="361"/>
      <c r="BY31" s="361"/>
      <c r="BZ31" s="361"/>
      <c r="CA31" s="361"/>
      <c r="CB31" s="361"/>
      <c r="CC31" s="361"/>
      <c r="CD31" s="361"/>
      <c r="CE31" s="361"/>
      <c r="CF31" s="361"/>
      <c r="CG31" s="361"/>
      <c r="CH31" s="361"/>
      <c r="CI31" s="361"/>
      <c r="CJ31" s="361"/>
      <c r="CK31" s="361"/>
      <c r="CL31" s="361"/>
      <c r="CM31" s="361"/>
      <c r="CN31" s="361"/>
      <c r="CO31" s="361"/>
      <c r="CP31" s="361"/>
      <c r="CQ31" s="361"/>
      <c r="CR31" s="361"/>
      <c r="CS31" s="361"/>
      <c r="CT31" s="361"/>
      <c r="CU31" s="361"/>
      <c r="CV31" s="361"/>
      <c r="CW31" s="361"/>
      <c r="CX31" s="361"/>
      <c r="CY31" s="361"/>
      <c r="CZ31" s="361"/>
      <c r="DA31" s="361"/>
      <c r="DB31" s="361"/>
      <c r="DC31" s="361"/>
      <c r="DD31" s="361"/>
      <c r="DE31" s="361"/>
      <c r="DF31" s="361"/>
      <c r="DG31" s="361"/>
      <c r="DH31" s="361"/>
      <c r="DI31" s="361"/>
      <c r="DJ31" s="361"/>
      <c r="DK31" s="361"/>
      <c r="DL31" s="361"/>
      <c r="DM31" s="361"/>
      <c r="DN31" s="361"/>
      <c r="DO31" s="361"/>
      <c r="DP31" s="361"/>
      <c r="DQ31" s="361"/>
      <c r="DR31" s="361"/>
      <c r="DS31" s="361"/>
      <c r="DT31" s="361"/>
      <c r="DU31" s="361"/>
      <c r="DV31" s="361"/>
      <c r="DW31" s="361"/>
      <c r="DX31" s="361"/>
      <c r="DY31" s="361"/>
      <c r="DZ31" s="361"/>
      <c r="EA31" s="361"/>
      <c r="EB31" s="361"/>
      <c r="EC31" s="361"/>
      <c r="ED31" s="361"/>
      <c r="EE31" s="361"/>
      <c r="EF31" s="361"/>
      <c r="EG31" s="361"/>
      <c r="EH31" s="361"/>
      <c r="EI31" s="361"/>
      <c r="EJ31" s="361"/>
      <c r="EK31" s="361"/>
      <c r="EL31" s="361"/>
      <c r="EM31" s="361"/>
      <c r="EN31" s="361"/>
      <c r="EO31" s="361"/>
      <c r="EP31" s="361"/>
      <c r="EQ31" s="361"/>
      <c r="ER31" s="361"/>
      <c r="ES31" s="361"/>
      <c r="ET31" s="361"/>
      <c r="EU31" s="361"/>
      <c r="EV31" s="361"/>
      <c r="EW31" s="361"/>
      <c r="EX31" s="361"/>
      <c r="EY31" s="361"/>
      <c r="EZ31" s="361"/>
      <c r="FA31" s="361"/>
      <c r="FB31" s="361"/>
      <c r="FC31" s="361"/>
      <c r="FD31" s="361"/>
      <c r="FE31" s="361"/>
      <c r="FF31" s="361"/>
      <c r="FG31" s="361"/>
      <c r="FH31" s="361"/>
      <c r="FI31" s="361"/>
      <c r="FJ31" s="361"/>
      <c r="FK31" s="361"/>
      <c r="FL31" s="361"/>
      <c r="FM31" s="361"/>
      <c r="FN31" s="361"/>
      <c r="FO31" s="361"/>
      <c r="FP31" s="361"/>
      <c r="FQ31" s="361"/>
      <c r="FR31" s="361"/>
      <c r="FS31" s="361"/>
      <c r="FT31" s="361"/>
      <c r="FU31" s="361"/>
      <c r="FV31" s="361"/>
      <c r="FW31" s="361"/>
      <c r="FX31" s="361"/>
      <c r="FY31" s="361"/>
      <c r="FZ31" s="361"/>
      <c r="GA31" s="361"/>
      <c r="GB31" s="361"/>
      <c r="GC31" s="361"/>
      <c r="GD31" s="361"/>
      <c r="GE31" s="361"/>
      <c r="GF31" s="361"/>
      <c r="GG31" s="361"/>
      <c r="GH31" s="361"/>
      <c r="GI31" s="361"/>
      <c r="GJ31" s="361"/>
      <c r="GK31" s="361"/>
      <c r="GL31" s="361"/>
      <c r="GM31" s="361"/>
      <c r="GN31" s="361"/>
      <c r="GO31" s="361"/>
      <c r="GP31" s="361"/>
      <c r="GQ31" s="361"/>
      <c r="GR31" s="361"/>
      <c r="GS31" s="361"/>
      <c r="GT31" s="361"/>
      <c r="GU31" s="361"/>
      <c r="GV31" s="361"/>
      <c r="GW31" s="361"/>
      <c r="GX31" s="361"/>
      <c r="GY31" s="361"/>
      <c r="GZ31" s="361"/>
      <c r="HA31" s="361"/>
      <c r="HB31" s="361"/>
      <c r="HC31" s="361"/>
      <c r="HD31" s="361"/>
      <c r="HE31" s="361"/>
      <c r="HF31" s="361"/>
      <c r="HG31" s="361"/>
      <c r="HH31" s="361"/>
      <c r="HI31" s="361"/>
      <c r="HJ31" s="361"/>
      <c r="HK31" s="361"/>
      <c r="HL31" s="361"/>
      <c r="HM31" s="361"/>
      <c r="HN31" s="361"/>
      <c r="HO31" s="361"/>
      <c r="HP31" s="361"/>
      <c r="HQ31" s="361"/>
      <c r="HR31" s="361"/>
      <c r="HS31" s="361"/>
      <c r="HT31" s="361"/>
      <c r="HU31" s="361"/>
      <c r="HV31" s="361"/>
      <c r="HW31" s="361"/>
      <c r="HX31" s="361"/>
      <c r="HY31" s="361"/>
      <c r="HZ31" s="361"/>
      <c r="IA31" s="361"/>
      <c r="IB31" s="361"/>
      <c r="IC31" s="361"/>
      <c r="ID31" s="361"/>
      <c r="IE31" s="361"/>
      <c r="IF31" s="361"/>
      <c r="IG31" s="361"/>
      <c r="IH31" s="361"/>
      <c r="II31" s="361"/>
      <c r="IJ31" s="361"/>
      <c r="IK31" s="361"/>
      <c r="IL31" s="361"/>
      <c r="IM31" s="361"/>
      <c r="IN31" s="361"/>
      <c r="IO31" s="361"/>
      <c r="IP31" s="385"/>
      <c r="IQ31" s="385"/>
      <c r="IR31" s="385"/>
      <c r="IS31" s="385"/>
      <c r="IT31" s="385"/>
      <c r="IU31" s="385"/>
      <c r="IV31" s="385"/>
      <c r="IW31" s="385"/>
      <c r="IX31" s="385"/>
      <c r="IY31" s="346" t="s">
        <v>69</v>
      </c>
      <c r="IZ31" s="346"/>
      <c r="JA31" s="346"/>
      <c r="JB31" s="346"/>
      <c r="JC31" s="346"/>
      <c r="JD31" s="346"/>
      <c r="JE31" s="385"/>
    </row>
    <row r="32" spans="1:265" s="179" customFormat="1" ht="19.95" customHeight="1" thickBot="1">
      <c r="A32" s="456"/>
      <c r="B32" s="457"/>
      <c r="C32" s="439" t="s">
        <v>21</v>
      </c>
      <c r="D32" s="458"/>
      <c r="E32" s="459">
        <f>COUNTIFS(Table1351452010[[#All],[Sales]],"คุณจันทราภรณ์ สุภาพวนิช",Table1351452010[[#All],[ค่าเชื่อมสัญญาณ/
ค่าติดตั้ง/
ค่าขายอุปกรณ์]],"&gt;1")</f>
        <v>0</v>
      </c>
      <c r="F32" s="460">
        <v>4753</v>
      </c>
      <c r="G32" s="443">
        <v>0</v>
      </c>
      <c r="H32" s="444">
        <f t="shared" si="2"/>
        <v>4753</v>
      </c>
      <c r="I32" s="359"/>
      <c r="J32" s="359"/>
      <c r="K32" s="359"/>
      <c r="L32" s="359"/>
      <c r="M32" s="359"/>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1"/>
      <c r="BB32" s="361"/>
      <c r="BC32" s="361"/>
      <c r="BD32" s="361"/>
      <c r="BE32" s="361"/>
      <c r="BF32" s="361"/>
      <c r="BG32" s="361"/>
      <c r="BH32" s="361"/>
      <c r="BI32" s="361"/>
      <c r="BJ32" s="361"/>
      <c r="BK32" s="361"/>
      <c r="BL32" s="361"/>
      <c r="BM32" s="361"/>
      <c r="BN32" s="361"/>
      <c r="BO32" s="361"/>
      <c r="BP32" s="361"/>
      <c r="BQ32" s="361"/>
      <c r="BR32" s="361"/>
      <c r="BS32" s="361"/>
      <c r="BT32" s="361"/>
      <c r="BU32" s="361"/>
      <c r="BV32" s="361"/>
      <c r="BW32" s="361"/>
      <c r="BX32" s="361"/>
      <c r="BY32" s="361"/>
      <c r="BZ32" s="361"/>
      <c r="CA32" s="361"/>
      <c r="CB32" s="361"/>
      <c r="CC32" s="361"/>
      <c r="CD32" s="361"/>
      <c r="CE32" s="361"/>
      <c r="CF32" s="361"/>
      <c r="CG32" s="361"/>
      <c r="CH32" s="361"/>
      <c r="CI32" s="361"/>
      <c r="CJ32" s="361"/>
      <c r="CK32" s="361"/>
      <c r="CL32" s="361"/>
      <c r="CM32" s="361"/>
      <c r="CN32" s="361"/>
      <c r="CO32" s="361"/>
      <c r="CP32" s="361"/>
      <c r="CQ32" s="361"/>
      <c r="CR32" s="361"/>
      <c r="CS32" s="361"/>
      <c r="CT32" s="361"/>
      <c r="CU32" s="361"/>
      <c r="CV32" s="361"/>
      <c r="CW32" s="361"/>
      <c r="CX32" s="361"/>
      <c r="CY32" s="361"/>
      <c r="CZ32" s="361"/>
      <c r="DA32" s="361"/>
      <c r="DB32" s="361"/>
      <c r="DC32" s="361"/>
      <c r="DD32" s="361"/>
      <c r="DE32" s="361"/>
      <c r="DF32" s="361"/>
      <c r="DG32" s="361"/>
      <c r="DH32" s="361"/>
      <c r="DI32" s="361"/>
      <c r="DJ32" s="361"/>
      <c r="DK32" s="361"/>
      <c r="DL32" s="361"/>
      <c r="DM32" s="361"/>
      <c r="DN32" s="361"/>
      <c r="DO32" s="361"/>
      <c r="DP32" s="361"/>
      <c r="DQ32" s="361"/>
      <c r="DR32" s="361"/>
      <c r="DS32" s="361"/>
      <c r="DT32" s="361"/>
      <c r="DU32" s="361"/>
      <c r="DV32" s="361"/>
      <c r="DW32" s="361"/>
      <c r="DX32" s="361"/>
      <c r="DY32" s="361"/>
      <c r="DZ32" s="361"/>
      <c r="EA32" s="361"/>
      <c r="EB32" s="361"/>
      <c r="EC32" s="361"/>
      <c r="ED32" s="361"/>
      <c r="EE32" s="361"/>
      <c r="EF32" s="361"/>
      <c r="EG32" s="361"/>
      <c r="EH32" s="361"/>
      <c r="EI32" s="361"/>
      <c r="EJ32" s="361"/>
      <c r="EK32" s="361"/>
      <c r="EL32" s="361"/>
      <c r="EM32" s="361"/>
      <c r="EN32" s="361"/>
      <c r="EO32" s="361"/>
      <c r="EP32" s="361"/>
      <c r="EQ32" s="361"/>
      <c r="ER32" s="361"/>
      <c r="ES32" s="361"/>
      <c r="ET32" s="361"/>
      <c r="EU32" s="361"/>
      <c r="EV32" s="361"/>
      <c r="EW32" s="361"/>
      <c r="EX32" s="361"/>
      <c r="EY32" s="361"/>
      <c r="EZ32" s="361"/>
      <c r="FA32" s="361"/>
      <c r="FB32" s="361"/>
      <c r="FC32" s="361"/>
      <c r="FD32" s="361"/>
      <c r="FE32" s="361"/>
      <c r="FF32" s="361"/>
      <c r="FG32" s="361"/>
      <c r="FH32" s="361"/>
      <c r="FI32" s="361"/>
      <c r="FJ32" s="361"/>
      <c r="FK32" s="361"/>
      <c r="FL32" s="361"/>
      <c r="FM32" s="361"/>
      <c r="FN32" s="361"/>
      <c r="FO32" s="361"/>
      <c r="FP32" s="361"/>
      <c r="FQ32" s="361"/>
      <c r="FR32" s="361"/>
      <c r="FS32" s="361"/>
      <c r="FT32" s="361"/>
      <c r="FU32" s="361"/>
      <c r="FV32" s="361"/>
      <c r="FW32" s="361"/>
      <c r="FX32" s="361"/>
      <c r="FY32" s="361"/>
      <c r="FZ32" s="361"/>
      <c r="GA32" s="361"/>
      <c r="GB32" s="361"/>
      <c r="GC32" s="361"/>
      <c r="GD32" s="361"/>
      <c r="GE32" s="361"/>
      <c r="GF32" s="361"/>
      <c r="GG32" s="361"/>
      <c r="GH32" s="361"/>
      <c r="GI32" s="361"/>
      <c r="GJ32" s="361"/>
      <c r="GK32" s="361"/>
      <c r="GL32" s="361"/>
      <c r="GM32" s="361"/>
      <c r="GN32" s="361"/>
      <c r="GO32" s="361"/>
      <c r="GP32" s="361"/>
      <c r="GQ32" s="361"/>
      <c r="GR32" s="361"/>
      <c r="GS32" s="361"/>
      <c r="GT32" s="361"/>
      <c r="GU32" s="361"/>
      <c r="GV32" s="361"/>
      <c r="GW32" s="361"/>
      <c r="GX32" s="361"/>
      <c r="GY32" s="361"/>
      <c r="GZ32" s="361"/>
      <c r="HA32" s="361"/>
      <c r="HB32" s="361"/>
      <c r="HC32" s="361"/>
      <c r="HD32" s="361"/>
      <c r="HE32" s="361"/>
      <c r="HF32" s="361"/>
      <c r="HG32" s="361"/>
      <c r="HH32" s="361"/>
      <c r="HI32" s="361"/>
      <c r="HJ32" s="361"/>
      <c r="HK32" s="361"/>
      <c r="HL32" s="361"/>
      <c r="HM32" s="361"/>
      <c r="HN32" s="361"/>
      <c r="HO32" s="361"/>
      <c r="HP32" s="361"/>
      <c r="HQ32" s="361"/>
      <c r="HR32" s="361"/>
      <c r="HS32" s="361"/>
      <c r="HT32" s="361"/>
      <c r="HU32" s="361"/>
      <c r="HV32" s="361"/>
      <c r="HW32" s="361"/>
      <c r="HX32" s="361"/>
      <c r="HY32" s="361"/>
      <c r="HZ32" s="361"/>
      <c r="IA32" s="361"/>
      <c r="IB32" s="361"/>
      <c r="IC32" s="361"/>
      <c r="ID32" s="361"/>
      <c r="IE32" s="361"/>
      <c r="IF32" s="361"/>
      <c r="IG32" s="361"/>
      <c r="IH32" s="361"/>
      <c r="II32" s="361"/>
      <c r="IJ32" s="361"/>
      <c r="IK32" s="361"/>
      <c r="IL32" s="361"/>
      <c r="IM32" s="361"/>
      <c r="IN32" s="361"/>
      <c r="IO32" s="361"/>
      <c r="IP32" s="385"/>
      <c r="IQ32" s="385"/>
      <c r="IR32" s="385"/>
      <c r="IS32" s="385"/>
      <c r="IT32" s="385"/>
      <c r="IU32" s="385"/>
      <c r="IV32" s="385"/>
      <c r="IW32" s="385"/>
      <c r="IX32" s="385"/>
      <c r="IY32" s="346" t="s">
        <v>90</v>
      </c>
      <c r="IZ32" s="346"/>
      <c r="JA32" s="346"/>
      <c r="JB32" s="346"/>
      <c r="JC32" s="346"/>
      <c r="JD32" s="346"/>
      <c r="JE32" s="385"/>
    </row>
    <row r="33" spans="1:265" s="175" customFormat="1" ht="19.95" customHeight="1">
      <c r="A33" s="449">
        <v>3</v>
      </c>
      <c r="B33" s="825" t="s">
        <v>146</v>
      </c>
      <c r="C33" s="426" t="s">
        <v>70</v>
      </c>
      <c r="D33" s="831" t="s">
        <v>151</v>
      </c>
      <c r="E33" s="451">
        <f>COUNTIFS(Table1351452010[[#All],[Sales]],"คุณนิมิต จุ้ยอยู่ทอง",Table1351452010[[#All],[Total 
คอมฯค่าเชื่อมสัญญาณ
(3)]],"&gt;1")</f>
        <v>0</v>
      </c>
      <c r="F33" s="452">
        <f>SUMIF(Table1351452010[[#All],[Sales]],"คุณนิมิต จุ้ยอยู่ทอง",Table1351452010[[#All],[Total 
คอมฯค่าเชื่อมสัญญาณ
(3)]])</f>
        <v>0</v>
      </c>
      <c r="G33" s="430">
        <v>0</v>
      </c>
      <c r="H33" s="431">
        <f>F33-G33</f>
        <v>0</v>
      </c>
      <c r="I33" s="797" t="s">
        <v>189</v>
      </c>
      <c r="J33" s="359"/>
      <c r="K33" s="359"/>
      <c r="L33" s="359"/>
      <c r="M33" s="360"/>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1"/>
      <c r="AM33" s="361"/>
      <c r="AN33" s="361"/>
      <c r="AO33" s="361"/>
      <c r="AP33" s="361"/>
      <c r="AQ33" s="361"/>
      <c r="AR33" s="361"/>
      <c r="AS33" s="361"/>
      <c r="AT33" s="361"/>
      <c r="AU33" s="361"/>
      <c r="AV33" s="361"/>
      <c r="AW33" s="361"/>
      <c r="AX33" s="361"/>
      <c r="AY33" s="361"/>
      <c r="AZ33" s="361"/>
      <c r="BA33" s="361"/>
      <c r="BB33" s="361"/>
      <c r="BC33" s="361"/>
      <c r="BD33" s="361"/>
      <c r="BE33" s="361"/>
      <c r="BF33" s="361"/>
      <c r="BG33" s="361"/>
      <c r="BH33" s="361"/>
      <c r="BI33" s="361"/>
      <c r="BJ33" s="361"/>
      <c r="BK33" s="361"/>
      <c r="BL33" s="361"/>
      <c r="BM33" s="361"/>
      <c r="BN33" s="361"/>
      <c r="BO33" s="361"/>
      <c r="BP33" s="361"/>
      <c r="BQ33" s="361"/>
      <c r="BR33" s="361"/>
      <c r="BS33" s="361"/>
      <c r="BT33" s="361"/>
      <c r="BU33" s="361"/>
      <c r="BV33" s="361"/>
      <c r="BW33" s="361"/>
      <c r="BX33" s="361"/>
      <c r="BY33" s="361"/>
      <c r="BZ33" s="361"/>
      <c r="CA33" s="361"/>
      <c r="CB33" s="361"/>
      <c r="CC33" s="361"/>
      <c r="CD33" s="361"/>
      <c r="CE33" s="361"/>
      <c r="CF33" s="361"/>
      <c r="CG33" s="361"/>
      <c r="CH33" s="361"/>
      <c r="CI33" s="361"/>
      <c r="CJ33" s="361"/>
      <c r="CK33" s="361"/>
      <c r="CL33" s="361"/>
      <c r="CM33" s="361"/>
      <c r="CN33" s="361"/>
      <c r="CO33" s="361"/>
      <c r="CP33" s="361"/>
      <c r="CQ33" s="361"/>
      <c r="CR33" s="361"/>
      <c r="CS33" s="361"/>
      <c r="CT33" s="361"/>
      <c r="CU33" s="361"/>
      <c r="CV33" s="361"/>
      <c r="CW33" s="361"/>
      <c r="CX33" s="361"/>
      <c r="CY33" s="361"/>
      <c r="CZ33" s="361"/>
      <c r="DA33" s="361"/>
      <c r="DB33" s="361"/>
      <c r="DC33" s="361"/>
      <c r="DD33" s="361"/>
      <c r="DE33" s="361"/>
      <c r="DF33" s="361"/>
      <c r="DG33" s="361"/>
      <c r="DH33" s="361"/>
      <c r="DI33" s="361"/>
      <c r="DJ33" s="361"/>
      <c r="DK33" s="361"/>
      <c r="DL33" s="361"/>
      <c r="DM33" s="361"/>
      <c r="DN33" s="361"/>
      <c r="DO33" s="361"/>
      <c r="DP33" s="361"/>
      <c r="DQ33" s="361"/>
      <c r="DR33" s="361"/>
      <c r="DS33" s="361"/>
      <c r="DT33" s="361"/>
      <c r="DU33" s="361"/>
      <c r="DV33" s="361"/>
      <c r="DW33" s="361"/>
      <c r="DX33" s="361"/>
      <c r="DY33" s="361"/>
      <c r="DZ33" s="361"/>
      <c r="EA33" s="361"/>
      <c r="EB33" s="361"/>
      <c r="EC33" s="361"/>
      <c r="ED33" s="361"/>
      <c r="EE33" s="361"/>
      <c r="EF33" s="361"/>
      <c r="EG33" s="361"/>
      <c r="EH33" s="361"/>
      <c r="EI33" s="361"/>
      <c r="EJ33" s="361"/>
      <c r="EK33" s="361"/>
      <c r="EL33" s="361"/>
      <c r="EM33" s="361"/>
      <c r="EN33" s="361"/>
      <c r="EO33" s="361"/>
      <c r="EP33" s="361"/>
      <c r="EQ33" s="361"/>
      <c r="ER33" s="361"/>
      <c r="ES33" s="361"/>
      <c r="ET33" s="361"/>
      <c r="EU33" s="361"/>
      <c r="EV33" s="361"/>
      <c r="EW33" s="361"/>
      <c r="EX33" s="361"/>
      <c r="EY33" s="361"/>
      <c r="EZ33" s="361"/>
      <c r="FA33" s="361"/>
      <c r="FB33" s="361"/>
      <c r="FC33" s="361"/>
      <c r="FD33" s="361"/>
      <c r="FE33" s="361"/>
      <c r="FF33" s="361"/>
      <c r="FG33" s="361"/>
      <c r="FH33" s="361"/>
      <c r="FI33" s="361"/>
      <c r="FJ33" s="361"/>
      <c r="FK33" s="361"/>
      <c r="FL33" s="361"/>
      <c r="FM33" s="361"/>
      <c r="FN33" s="361"/>
      <c r="FO33" s="361"/>
      <c r="FP33" s="361"/>
      <c r="FQ33" s="361"/>
      <c r="FR33" s="361"/>
      <c r="FS33" s="361"/>
      <c r="FT33" s="361"/>
      <c r="FU33" s="361"/>
      <c r="FV33" s="361"/>
      <c r="FW33" s="361"/>
      <c r="FX33" s="361"/>
      <c r="FY33" s="361"/>
      <c r="FZ33" s="361"/>
      <c r="GA33" s="361"/>
      <c r="GB33" s="361"/>
      <c r="GC33" s="361"/>
      <c r="GD33" s="361"/>
      <c r="GE33" s="361"/>
      <c r="GF33" s="361"/>
      <c r="GG33" s="361"/>
      <c r="GH33" s="361"/>
      <c r="GI33" s="361"/>
      <c r="GJ33" s="361"/>
      <c r="GK33" s="361"/>
      <c r="GL33" s="361"/>
      <c r="GM33" s="361"/>
      <c r="GN33" s="361"/>
      <c r="GO33" s="361"/>
      <c r="GP33" s="361"/>
      <c r="GQ33" s="361"/>
      <c r="GR33" s="361"/>
      <c r="GS33" s="361"/>
      <c r="GT33" s="361"/>
      <c r="GU33" s="361"/>
      <c r="GV33" s="361"/>
      <c r="GW33" s="361"/>
      <c r="GX33" s="361"/>
      <c r="GY33" s="361"/>
      <c r="GZ33" s="361"/>
      <c r="HA33" s="361"/>
      <c r="HB33" s="361"/>
      <c r="HC33" s="361"/>
      <c r="HD33" s="361"/>
      <c r="HE33" s="361"/>
      <c r="HF33" s="361"/>
      <c r="HG33" s="361"/>
      <c r="HH33" s="361"/>
      <c r="HI33" s="361"/>
      <c r="HJ33" s="361"/>
      <c r="HK33" s="361"/>
      <c r="HL33" s="361"/>
      <c r="HM33" s="361"/>
      <c r="HN33" s="361"/>
      <c r="HO33" s="361"/>
      <c r="HP33" s="361"/>
      <c r="HQ33" s="361"/>
      <c r="HR33" s="361"/>
      <c r="HS33" s="361"/>
      <c r="HT33" s="361"/>
      <c r="HU33" s="361"/>
      <c r="HV33" s="361"/>
      <c r="HW33" s="361"/>
      <c r="HX33" s="361"/>
      <c r="HY33" s="361"/>
      <c r="HZ33" s="361"/>
      <c r="IA33" s="361"/>
      <c r="IB33" s="361"/>
      <c r="IC33" s="361"/>
      <c r="ID33" s="361"/>
      <c r="IE33" s="361"/>
      <c r="IF33" s="361"/>
      <c r="IG33" s="361"/>
      <c r="IH33" s="361"/>
      <c r="II33" s="361"/>
      <c r="IJ33" s="361"/>
      <c r="IK33" s="361"/>
      <c r="IL33" s="361"/>
      <c r="IM33" s="361"/>
      <c r="IN33" s="361"/>
      <c r="IO33" s="361"/>
      <c r="IP33" s="361"/>
      <c r="IQ33" s="361"/>
      <c r="IR33" s="361"/>
      <c r="IS33" s="361"/>
      <c r="IT33" s="361"/>
      <c r="IU33" s="361"/>
      <c r="IV33" s="361"/>
      <c r="IW33" s="361"/>
      <c r="IX33" s="361"/>
      <c r="IY33" s="346" t="s">
        <v>21</v>
      </c>
      <c r="IZ33" s="346"/>
      <c r="JA33" s="346"/>
      <c r="JB33" s="346"/>
      <c r="JC33" s="346"/>
      <c r="JD33" s="346"/>
      <c r="JE33" s="361"/>
    </row>
    <row r="34" spans="1:265" s="175" customFormat="1" ht="19.95" customHeight="1">
      <c r="A34" s="453"/>
      <c r="B34" s="826" t="s">
        <v>147</v>
      </c>
      <c r="C34" s="328" t="s">
        <v>71</v>
      </c>
      <c r="D34" s="832" t="s">
        <v>152</v>
      </c>
      <c r="E34" s="454">
        <f>COUNTIFS(Table1351452010[[#All],[Sales]],"คุณธวัช มีแสง",Table1351452010[[#All],[Total 
คอมฯค่าเชื่อมสัญญาณ
(3)]],"&gt;1")</f>
        <v>0</v>
      </c>
      <c r="F34" s="455">
        <f>SUMIF(Table1351452010[[#All],[Sales]],"คุณธวัช มีแสง",Table1351452010[[#All],[Total 
คอมฯค่าเชื่อมสัญญาณ
(3)]])</f>
        <v>0</v>
      </c>
      <c r="G34" s="434">
        <v>0</v>
      </c>
      <c r="H34" s="436">
        <f>F34-G34</f>
        <v>0</v>
      </c>
      <c r="I34" s="359"/>
      <c r="J34" s="359"/>
      <c r="K34" s="359"/>
      <c r="L34" s="359"/>
      <c r="M34" s="360"/>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1"/>
      <c r="AQ34" s="361"/>
      <c r="AR34" s="361"/>
      <c r="AS34" s="361"/>
      <c r="AT34" s="361"/>
      <c r="AU34" s="361"/>
      <c r="AV34" s="361"/>
      <c r="AW34" s="361"/>
      <c r="AX34" s="361"/>
      <c r="AY34" s="361"/>
      <c r="AZ34" s="361"/>
      <c r="BA34" s="361"/>
      <c r="BB34" s="361"/>
      <c r="BC34" s="361"/>
      <c r="BD34" s="361"/>
      <c r="BE34" s="361"/>
      <c r="BF34" s="361"/>
      <c r="BG34" s="361"/>
      <c r="BH34" s="361"/>
      <c r="BI34" s="361"/>
      <c r="BJ34" s="361"/>
      <c r="BK34" s="361"/>
      <c r="BL34" s="361"/>
      <c r="BM34" s="361"/>
      <c r="BN34" s="361"/>
      <c r="BO34" s="361"/>
      <c r="BP34" s="361"/>
      <c r="BQ34" s="361"/>
      <c r="BR34" s="361"/>
      <c r="BS34" s="361"/>
      <c r="BT34" s="361"/>
      <c r="BU34" s="361"/>
      <c r="BV34" s="361"/>
      <c r="BW34" s="361"/>
      <c r="BX34" s="361"/>
      <c r="BY34" s="361"/>
      <c r="BZ34" s="361"/>
      <c r="CA34" s="361"/>
      <c r="CB34" s="361"/>
      <c r="CC34" s="361"/>
      <c r="CD34" s="361"/>
      <c r="CE34" s="361"/>
      <c r="CF34" s="361"/>
      <c r="CG34" s="361"/>
      <c r="CH34" s="361"/>
      <c r="CI34" s="361"/>
      <c r="CJ34" s="361"/>
      <c r="CK34" s="361"/>
      <c r="CL34" s="361"/>
      <c r="CM34" s="361"/>
      <c r="CN34" s="361"/>
      <c r="CO34" s="361"/>
      <c r="CP34" s="361"/>
      <c r="CQ34" s="361"/>
      <c r="CR34" s="361"/>
      <c r="CS34" s="361"/>
      <c r="CT34" s="361"/>
      <c r="CU34" s="361"/>
      <c r="CV34" s="361"/>
      <c r="CW34" s="361"/>
      <c r="CX34" s="361"/>
      <c r="CY34" s="361"/>
      <c r="CZ34" s="361"/>
      <c r="DA34" s="361"/>
      <c r="DB34" s="361"/>
      <c r="DC34" s="361"/>
      <c r="DD34" s="361"/>
      <c r="DE34" s="361"/>
      <c r="DF34" s="361"/>
      <c r="DG34" s="361"/>
      <c r="DH34" s="361"/>
      <c r="DI34" s="361"/>
      <c r="DJ34" s="361"/>
      <c r="DK34" s="361"/>
      <c r="DL34" s="361"/>
      <c r="DM34" s="361"/>
      <c r="DN34" s="361"/>
      <c r="DO34" s="361"/>
      <c r="DP34" s="361"/>
      <c r="DQ34" s="361"/>
      <c r="DR34" s="361"/>
      <c r="DS34" s="361"/>
      <c r="DT34" s="361"/>
      <c r="DU34" s="361"/>
      <c r="DV34" s="361"/>
      <c r="DW34" s="361"/>
      <c r="DX34" s="361"/>
      <c r="DY34" s="361"/>
      <c r="DZ34" s="361"/>
      <c r="EA34" s="361"/>
      <c r="EB34" s="361"/>
      <c r="EC34" s="361"/>
      <c r="ED34" s="361"/>
      <c r="EE34" s="361"/>
      <c r="EF34" s="361"/>
      <c r="EG34" s="361"/>
      <c r="EH34" s="361"/>
      <c r="EI34" s="361"/>
      <c r="EJ34" s="361"/>
      <c r="EK34" s="361"/>
      <c r="EL34" s="361"/>
      <c r="EM34" s="361"/>
      <c r="EN34" s="361"/>
      <c r="EO34" s="361"/>
      <c r="EP34" s="361"/>
      <c r="EQ34" s="361"/>
      <c r="ER34" s="361"/>
      <c r="ES34" s="361"/>
      <c r="ET34" s="361"/>
      <c r="EU34" s="361"/>
      <c r="EV34" s="361"/>
      <c r="EW34" s="361"/>
      <c r="EX34" s="361"/>
      <c r="EY34" s="361"/>
      <c r="EZ34" s="361"/>
      <c r="FA34" s="361"/>
      <c r="FB34" s="361"/>
      <c r="FC34" s="361"/>
      <c r="FD34" s="361"/>
      <c r="FE34" s="361"/>
      <c r="FF34" s="361"/>
      <c r="FG34" s="361"/>
      <c r="FH34" s="361"/>
      <c r="FI34" s="361"/>
      <c r="FJ34" s="361"/>
      <c r="FK34" s="361"/>
      <c r="FL34" s="361"/>
      <c r="FM34" s="361"/>
      <c r="FN34" s="361"/>
      <c r="FO34" s="361"/>
      <c r="FP34" s="361"/>
      <c r="FQ34" s="361"/>
      <c r="FR34" s="361"/>
      <c r="FS34" s="361"/>
      <c r="FT34" s="361"/>
      <c r="FU34" s="361"/>
      <c r="FV34" s="361"/>
      <c r="FW34" s="361"/>
      <c r="FX34" s="361"/>
      <c r="FY34" s="361"/>
      <c r="FZ34" s="361"/>
      <c r="GA34" s="361"/>
      <c r="GB34" s="361"/>
      <c r="GC34" s="361"/>
      <c r="GD34" s="361"/>
      <c r="GE34" s="361"/>
      <c r="GF34" s="361"/>
      <c r="GG34" s="361"/>
      <c r="GH34" s="361"/>
      <c r="GI34" s="361"/>
      <c r="GJ34" s="361"/>
      <c r="GK34" s="361"/>
      <c r="GL34" s="361"/>
      <c r="GM34" s="361"/>
      <c r="GN34" s="361"/>
      <c r="GO34" s="361"/>
      <c r="GP34" s="361"/>
      <c r="GQ34" s="361"/>
      <c r="GR34" s="361"/>
      <c r="GS34" s="361"/>
      <c r="GT34" s="361"/>
      <c r="GU34" s="361"/>
      <c r="GV34" s="361"/>
      <c r="GW34" s="361"/>
      <c r="GX34" s="361"/>
      <c r="GY34" s="361"/>
      <c r="GZ34" s="361"/>
      <c r="HA34" s="361"/>
      <c r="HB34" s="361"/>
      <c r="HC34" s="361"/>
      <c r="HD34" s="361"/>
      <c r="HE34" s="361"/>
      <c r="HF34" s="361"/>
      <c r="HG34" s="361"/>
      <c r="HH34" s="361"/>
      <c r="HI34" s="361"/>
      <c r="HJ34" s="361"/>
      <c r="HK34" s="361"/>
      <c r="HL34" s="361"/>
      <c r="HM34" s="361"/>
      <c r="HN34" s="361"/>
      <c r="HO34" s="361"/>
      <c r="HP34" s="361"/>
      <c r="HQ34" s="361"/>
      <c r="HR34" s="361"/>
      <c r="HS34" s="361"/>
      <c r="HT34" s="361"/>
      <c r="HU34" s="361"/>
      <c r="HV34" s="361"/>
      <c r="HW34" s="361"/>
      <c r="HX34" s="361"/>
      <c r="HY34" s="361"/>
      <c r="HZ34" s="361"/>
      <c r="IA34" s="361"/>
      <c r="IB34" s="361"/>
      <c r="IC34" s="361"/>
      <c r="ID34" s="361"/>
      <c r="IE34" s="361"/>
      <c r="IF34" s="361"/>
      <c r="IG34" s="361"/>
      <c r="IH34" s="361"/>
      <c r="II34" s="361"/>
      <c r="IJ34" s="361"/>
      <c r="IK34" s="361"/>
      <c r="IL34" s="361"/>
      <c r="IM34" s="361"/>
      <c r="IN34" s="361"/>
      <c r="IO34" s="361"/>
      <c r="IP34" s="361"/>
      <c r="IQ34" s="361"/>
      <c r="IR34" s="361"/>
      <c r="IS34" s="361"/>
      <c r="IT34" s="361"/>
      <c r="IU34" s="361"/>
      <c r="IV34" s="361"/>
      <c r="IW34" s="361"/>
      <c r="IX34" s="361"/>
      <c r="IY34" s="382" t="s">
        <v>192</v>
      </c>
      <c r="IZ34" s="382"/>
      <c r="JA34" s="382"/>
      <c r="JB34" s="382"/>
      <c r="JC34" s="382"/>
      <c r="JD34" s="382"/>
      <c r="JE34" s="361"/>
    </row>
    <row r="35" spans="1:265" s="175" customFormat="1" ht="19.95" customHeight="1">
      <c r="A35" s="453"/>
      <c r="B35" s="827"/>
      <c r="C35" s="328" t="s">
        <v>73</v>
      </c>
      <c r="D35" s="336"/>
      <c r="E35" s="454">
        <f>COUNTIFS(Table1351452010[[#All],[Sales]],"คุณนิยนต์ อยู่ทะเล",Table1351452010[[#All],[Total 
คอมฯค่าเชื่อมสัญญาณ
(3)]],"&gt;1")</f>
        <v>0</v>
      </c>
      <c r="F35" s="455">
        <f>SUMIF(Table1351452010[[#All],[Sales]],"คุณแดง มูลสองแคว",Table1351452010[[#All],[Total 
คอมฯค่าเชื่อมสัญญาณ
(3)]])</f>
        <v>0</v>
      </c>
      <c r="G35" s="434">
        <v>0</v>
      </c>
      <c r="H35" s="436">
        <f>F35-G35</f>
        <v>0</v>
      </c>
      <c r="I35" s="359"/>
      <c r="J35" s="359"/>
      <c r="K35" s="359"/>
      <c r="L35" s="359"/>
      <c r="M35" s="360"/>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c r="AN35" s="361"/>
      <c r="AO35" s="361"/>
      <c r="AP35" s="361"/>
      <c r="AQ35" s="361"/>
      <c r="AR35" s="361"/>
      <c r="AS35" s="361"/>
      <c r="AT35" s="361"/>
      <c r="AU35" s="361"/>
      <c r="AV35" s="361"/>
      <c r="AW35" s="361"/>
      <c r="AX35" s="361"/>
      <c r="AY35" s="361"/>
      <c r="AZ35" s="361"/>
      <c r="BA35" s="361"/>
      <c r="BB35" s="361"/>
      <c r="BC35" s="361"/>
      <c r="BD35" s="361"/>
      <c r="BE35" s="361"/>
      <c r="BF35" s="361"/>
      <c r="BG35" s="361"/>
      <c r="BH35" s="361"/>
      <c r="BI35" s="361"/>
      <c r="BJ35" s="361"/>
      <c r="BK35" s="361"/>
      <c r="BL35" s="361"/>
      <c r="BM35" s="361"/>
      <c r="BN35" s="361"/>
      <c r="BO35" s="361"/>
      <c r="BP35" s="361"/>
      <c r="BQ35" s="361"/>
      <c r="BR35" s="361"/>
      <c r="BS35" s="361"/>
      <c r="BT35" s="361"/>
      <c r="BU35" s="361"/>
      <c r="BV35" s="361"/>
      <c r="BW35" s="361"/>
      <c r="BX35" s="361"/>
      <c r="BY35" s="361"/>
      <c r="BZ35" s="361"/>
      <c r="CA35" s="361"/>
      <c r="CB35" s="361"/>
      <c r="CC35" s="361"/>
      <c r="CD35" s="361"/>
      <c r="CE35" s="361"/>
      <c r="CF35" s="361"/>
      <c r="CG35" s="361"/>
      <c r="CH35" s="361"/>
      <c r="CI35" s="361"/>
      <c r="CJ35" s="361"/>
      <c r="CK35" s="361"/>
      <c r="CL35" s="361"/>
      <c r="CM35" s="361"/>
      <c r="CN35" s="361"/>
      <c r="CO35" s="361"/>
      <c r="CP35" s="361"/>
      <c r="CQ35" s="361"/>
      <c r="CR35" s="361"/>
      <c r="CS35" s="361"/>
      <c r="CT35" s="361"/>
      <c r="CU35" s="361"/>
      <c r="CV35" s="361"/>
      <c r="CW35" s="361"/>
      <c r="CX35" s="361"/>
      <c r="CY35" s="361"/>
      <c r="CZ35" s="361"/>
      <c r="DA35" s="361"/>
      <c r="DB35" s="361"/>
      <c r="DC35" s="361"/>
      <c r="DD35" s="361"/>
      <c r="DE35" s="361"/>
      <c r="DF35" s="361"/>
      <c r="DG35" s="361"/>
      <c r="DH35" s="361"/>
      <c r="DI35" s="361"/>
      <c r="DJ35" s="361"/>
      <c r="DK35" s="361"/>
      <c r="DL35" s="361"/>
      <c r="DM35" s="361"/>
      <c r="DN35" s="361"/>
      <c r="DO35" s="361"/>
      <c r="DP35" s="361"/>
      <c r="DQ35" s="361"/>
      <c r="DR35" s="361"/>
      <c r="DS35" s="361"/>
      <c r="DT35" s="361"/>
      <c r="DU35" s="361"/>
      <c r="DV35" s="361"/>
      <c r="DW35" s="361"/>
      <c r="DX35" s="361"/>
      <c r="DY35" s="361"/>
      <c r="DZ35" s="361"/>
      <c r="EA35" s="361"/>
      <c r="EB35" s="361"/>
      <c r="EC35" s="361"/>
      <c r="ED35" s="361"/>
      <c r="EE35" s="361"/>
      <c r="EF35" s="361"/>
      <c r="EG35" s="361"/>
      <c r="EH35" s="361"/>
      <c r="EI35" s="361"/>
      <c r="EJ35" s="361"/>
      <c r="EK35" s="361"/>
      <c r="EL35" s="361"/>
      <c r="EM35" s="361"/>
      <c r="EN35" s="361"/>
      <c r="EO35" s="361"/>
      <c r="EP35" s="361"/>
      <c r="EQ35" s="361"/>
      <c r="ER35" s="361"/>
      <c r="ES35" s="361"/>
      <c r="ET35" s="361"/>
      <c r="EU35" s="361"/>
      <c r="EV35" s="361"/>
      <c r="EW35" s="361"/>
      <c r="EX35" s="361"/>
      <c r="EY35" s="361"/>
      <c r="EZ35" s="361"/>
      <c r="FA35" s="361"/>
      <c r="FB35" s="361"/>
      <c r="FC35" s="361"/>
      <c r="FD35" s="361"/>
      <c r="FE35" s="361"/>
      <c r="FF35" s="361"/>
      <c r="FG35" s="361"/>
      <c r="FH35" s="361"/>
      <c r="FI35" s="361"/>
      <c r="FJ35" s="361"/>
      <c r="FK35" s="361"/>
      <c r="FL35" s="361"/>
      <c r="FM35" s="361"/>
      <c r="FN35" s="361"/>
      <c r="FO35" s="361"/>
      <c r="FP35" s="361"/>
      <c r="FQ35" s="361"/>
      <c r="FR35" s="361"/>
      <c r="FS35" s="361"/>
      <c r="FT35" s="361"/>
      <c r="FU35" s="361"/>
      <c r="FV35" s="361"/>
      <c r="FW35" s="361"/>
      <c r="FX35" s="361"/>
      <c r="FY35" s="361"/>
      <c r="FZ35" s="361"/>
      <c r="GA35" s="361"/>
      <c r="GB35" s="361"/>
      <c r="GC35" s="361"/>
      <c r="GD35" s="361"/>
      <c r="GE35" s="361"/>
      <c r="GF35" s="361"/>
      <c r="GG35" s="361"/>
      <c r="GH35" s="361"/>
      <c r="GI35" s="361"/>
      <c r="GJ35" s="361"/>
      <c r="GK35" s="361"/>
      <c r="GL35" s="361"/>
      <c r="GM35" s="361"/>
      <c r="GN35" s="361"/>
      <c r="GO35" s="361"/>
      <c r="GP35" s="361"/>
      <c r="GQ35" s="361"/>
      <c r="GR35" s="361"/>
      <c r="GS35" s="361"/>
      <c r="GT35" s="361"/>
      <c r="GU35" s="361"/>
      <c r="GV35" s="361"/>
      <c r="GW35" s="361"/>
      <c r="GX35" s="361"/>
      <c r="GY35" s="361"/>
      <c r="GZ35" s="361"/>
      <c r="HA35" s="361"/>
      <c r="HB35" s="361"/>
      <c r="HC35" s="361"/>
      <c r="HD35" s="361"/>
      <c r="HE35" s="361"/>
      <c r="HF35" s="361"/>
      <c r="HG35" s="361"/>
      <c r="HH35" s="361"/>
      <c r="HI35" s="361"/>
      <c r="HJ35" s="361"/>
      <c r="HK35" s="361"/>
      <c r="HL35" s="361"/>
      <c r="HM35" s="361"/>
      <c r="HN35" s="361"/>
      <c r="HO35" s="361"/>
      <c r="HP35" s="361"/>
      <c r="HQ35" s="361"/>
      <c r="HR35" s="361"/>
      <c r="HS35" s="361"/>
      <c r="HT35" s="361"/>
      <c r="HU35" s="361"/>
      <c r="HV35" s="361"/>
      <c r="HW35" s="361"/>
      <c r="HX35" s="361"/>
      <c r="HY35" s="361"/>
      <c r="HZ35" s="361"/>
      <c r="IA35" s="361"/>
      <c r="IB35" s="361"/>
      <c r="IC35" s="361"/>
      <c r="ID35" s="361"/>
      <c r="IE35" s="361"/>
      <c r="IF35" s="361"/>
      <c r="IG35" s="361"/>
      <c r="IH35" s="361"/>
      <c r="II35" s="361"/>
      <c r="IJ35" s="361"/>
      <c r="IK35" s="361"/>
      <c r="IL35" s="361"/>
      <c r="IM35" s="361"/>
      <c r="IN35" s="361"/>
      <c r="IO35" s="361"/>
      <c r="IP35" s="361"/>
      <c r="IQ35" s="361"/>
      <c r="IR35" s="361"/>
      <c r="IS35" s="361"/>
      <c r="IT35" s="361"/>
      <c r="IU35" s="361"/>
      <c r="IV35" s="361"/>
      <c r="IW35" s="361"/>
      <c r="IX35" s="361"/>
      <c r="IY35" s="346" t="s">
        <v>70</v>
      </c>
      <c r="IZ35" s="346"/>
      <c r="JA35" s="346"/>
      <c r="JB35" s="346"/>
      <c r="JC35" s="346"/>
      <c r="JD35" s="346"/>
      <c r="JE35" s="361"/>
    </row>
    <row r="36" spans="1:265" s="175" customFormat="1" ht="19.95" customHeight="1">
      <c r="A36" s="453"/>
      <c r="B36" s="827"/>
      <c r="C36" s="328" t="s">
        <v>74</v>
      </c>
      <c r="D36" s="336"/>
      <c r="E36" s="454">
        <f>COUNTIFS(Table1351452010[[#All],[Sales]],"คุณจินตนา อ้อยหวาน",Table1351452010[[#All],[Total 
คอมฯค่าเชื่อมสัญญาณ
(3)]],"&gt;1")</f>
        <v>0</v>
      </c>
      <c r="F36" s="455">
        <f>SUMIF(Table1351452010[[#All],[Sales]],"คุณจินตนา อ้อยหวาน",Table1351452010[[#All],[Total 
คอมฯค่าเชื่อมสัญญาณ
(3)]])</f>
        <v>0</v>
      </c>
      <c r="G36" s="434">
        <v>0</v>
      </c>
      <c r="H36" s="436">
        <f t="shared" ref="H36:H46" si="3">F36-G36</f>
        <v>0</v>
      </c>
      <c r="I36" s="359"/>
      <c r="J36" s="359"/>
      <c r="K36" s="359"/>
      <c r="L36" s="359"/>
      <c r="M36" s="360"/>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c r="AN36" s="361"/>
      <c r="AO36" s="361"/>
      <c r="AP36" s="361"/>
      <c r="AQ36" s="361"/>
      <c r="AR36" s="361"/>
      <c r="AS36" s="361"/>
      <c r="AT36" s="361"/>
      <c r="AU36" s="361"/>
      <c r="AV36" s="361"/>
      <c r="AW36" s="361"/>
      <c r="AX36" s="361"/>
      <c r="AY36" s="361"/>
      <c r="AZ36" s="361"/>
      <c r="BA36" s="361"/>
      <c r="BB36" s="361"/>
      <c r="BC36" s="361"/>
      <c r="BD36" s="361"/>
      <c r="BE36" s="361"/>
      <c r="BF36" s="361"/>
      <c r="BG36" s="361"/>
      <c r="BH36" s="361"/>
      <c r="BI36" s="361"/>
      <c r="BJ36" s="361"/>
      <c r="BK36" s="361"/>
      <c r="BL36" s="361"/>
      <c r="BM36" s="361"/>
      <c r="BN36" s="361"/>
      <c r="BO36" s="361"/>
      <c r="BP36" s="361"/>
      <c r="BQ36" s="361"/>
      <c r="BR36" s="361"/>
      <c r="BS36" s="361"/>
      <c r="BT36" s="361"/>
      <c r="BU36" s="361"/>
      <c r="BV36" s="361"/>
      <c r="BW36" s="361"/>
      <c r="BX36" s="361"/>
      <c r="BY36" s="361"/>
      <c r="BZ36" s="361"/>
      <c r="CA36" s="361"/>
      <c r="CB36" s="361"/>
      <c r="CC36" s="361"/>
      <c r="CD36" s="361"/>
      <c r="CE36" s="361"/>
      <c r="CF36" s="361"/>
      <c r="CG36" s="361"/>
      <c r="CH36" s="361"/>
      <c r="CI36" s="361"/>
      <c r="CJ36" s="361"/>
      <c r="CK36" s="361"/>
      <c r="CL36" s="361"/>
      <c r="CM36" s="361"/>
      <c r="CN36" s="361"/>
      <c r="CO36" s="361"/>
      <c r="CP36" s="361"/>
      <c r="CQ36" s="361"/>
      <c r="CR36" s="361"/>
      <c r="CS36" s="361"/>
      <c r="CT36" s="361"/>
      <c r="CU36" s="361"/>
      <c r="CV36" s="361"/>
      <c r="CW36" s="361"/>
      <c r="CX36" s="361"/>
      <c r="CY36" s="361"/>
      <c r="CZ36" s="361"/>
      <c r="DA36" s="361"/>
      <c r="DB36" s="361"/>
      <c r="DC36" s="361"/>
      <c r="DD36" s="361"/>
      <c r="DE36" s="361"/>
      <c r="DF36" s="361"/>
      <c r="DG36" s="361"/>
      <c r="DH36" s="361"/>
      <c r="DI36" s="361"/>
      <c r="DJ36" s="361"/>
      <c r="DK36" s="361"/>
      <c r="DL36" s="361"/>
      <c r="DM36" s="361"/>
      <c r="DN36" s="361"/>
      <c r="DO36" s="361"/>
      <c r="DP36" s="361"/>
      <c r="DQ36" s="361"/>
      <c r="DR36" s="361"/>
      <c r="DS36" s="361"/>
      <c r="DT36" s="361"/>
      <c r="DU36" s="361"/>
      <c r="DV36" s="361"/>
      <c r="DW36" s="361"/>
      <c r="DX36" s="361"/>
      <c r="DY36" s="361"/>
      <c r="DZ36" s="361"/>
      <c r="EA36" s="361"/>
      <c r="EB36" s="361"/>
      <c r="EC36" s="361"/>
      <c r="ED36" s="361"/>
      <c r="EE36" s="361"/>
      <c r="EF36" s="361"/>
      <c r="EG36" s="361"/>
      <c r="EH36" s="361"/>
      <c r="EI36" s="361"/>
      <c r="EJ36" s="361"/>
      <c r="EK36" s="361"/>
      <c r="EL36" s="361"/>
      <c r="EM36" s="361"/>
      <c r="EN36" s="361"/>
      <c r="EO36" s="361"/>
      <c r="EP36" s="361"/>
      <c r="EQ36" s="361"/>
      <c r="ER36" s="361"/>
      <c r="ES36" s="361"/>
      <c r="ET36" s="361"/>
      <c r="EU36" s="361"/>
      <c r="EV36" s="361"/>
      <c r="EW36" s="361"/>
      <c r="EX36" s="361"/>
      <c r="EY36" s="361"/>
      <c r="EZ36" s="361"/>
      <c r="FA36" s="361"/>
      <c r="FB36" s="361"/>
      <c r="FC36" s="361"/>
      <c r="FD36" s="361"/>
      <c r="FE36" s="361"/>
      <c r="FF36" s="361"/>
      <c r="FG36" s="361"/>
      <c r="FH36" s="361"/>
      <c r="FI36" s="361"/>
      <c r="FJ36" s="361"/>
      <c r="FK36" s="361"/>
      <c r="FL36" s="361"/>
      <c r="FM36" s="361"/>
      <c r="FN36" s="361"/>
      <c r="FO36" s="361"/>
      <c r="FP36" s="361"/>
      <c r="FQ36" s="361"/>
      <c r="FR36" s="361"/>
      <c r="FS36" s="361"/>
      <c r="FT36" s="361"/>
      <c r="FU36" s="361"/>
      <c r="FV36" s="361"/>
      <c r="FW36" s="361"/>
      <c r="FX36" s="361"/>
      <c r="FY36" s="361"/>
      <c r="FZ36" s="361"/>
      <c r="GA36" s="361"/>
      <c r="GB36" s="361"/>
      <c r="GC36" s="361"/>
      <c r="GD36" s="361"/>
      <c r="GE36" s="361"/>
      <c r="GF36" s="361"/>
      <c r="GG36" s="361"/>
      <c r="GH36" s="361"/>
      <c r="GI36" s="361"/>
      <c r="GJ36" s="361"/>
      <c r="GK36" s="361"/>
      <c r="GL36" s="361"/>
      <c r="GM36" s="361"/>
      <c r="GN36" s="361"/>
      <c r="GO36" s="361"/>
      <c r="GP36" s="361"/>
      <c r="GQ36" s="361"/>
      <c r="GR36" s="361"/>
      <c r="GS36" s="361"/>
      <c r="GT36" s="361"/>
      <c r="GU36" s="361"/>
      <c r="GV36" s="361"/>
      <c r="GW36" s="361"/>
      <c r="GX36" s="361"/>
      <c r="GY36" s="361"/>
      <c r="GZ36" s="361"/>
      <c r="HA36" s="361"/>
      <c r="HB36" s="361"/>
      <c r="HC36" s="361"/>
      <c r="HD36" s="361"/>
      <c r="HE36" s="361"/>
      <c r="HF36" s="361"/>
      <c r="HG36" s="361"/>
      <c r="HH36" s="361"/>
      <c r="HI36" s="361"/>
      <c r="HJ36" s="361"/>
      <c r="HK36" s="361"/>
      <c r="HL36" s="361"/>
      <c r="HM36" s="361"/>
      <c r="HN36" s="361"/>
      <c r="HO36" s="361"/>
      <c r="HP36" s="361"/>
      <c r="HQ36" s="361"/>
      <c r="HR36" s="361"/>
      <c r="HS36" s="361"/>
      <c r="HT36" s="361"/>
      <c r="HU36" s="361"/>
      <c r="HV36" s="361"/>
      <c r="HW36" s="361"/>
      <c r="HX36" s="361"/>
      <c r="HY36" s="361"/>
      <c r="HZ36" s="361"/>
      <c r="IA36" s="361"/>
      <c r="IB36" s="361"/>
      <c r="IC36" s="361"/>
      <c r="ID36" s="361"/>
      <c r="IE36" s="361"/>
      <c r="IF36" s="361"/>
      <c r="IG36" s="361"/>
      <c r="IH36" s="361"/>
      <c r="II36" s="361"/>
      <c r="IJ36" s="361"/>
      <c r="IK36" s="361"/>
      <c r="IL36" s="361"/>
      <c r="IM36" s="361"/>
      <c r="IN36" s="361"/>
      <c r="IO36" s="361"/>
      <c r="IP36" s="361"/>
      <c r="IQ36" s="361"/>
      <c r="IR36" s="361"/>
      <c r="IS36" s="361"/>
      <c r="IT36" s="361"/>
      <c r="IU36" s="361"/>
      <c r="IV36" s="361"/>
      <c r="IW36" s="361"/>
      <c r="IX36" s="361"/>
      <c r="IY36" s="346" t="s">
        <v>71</v>
      </c>
      <c r="IZ36" s="346"/>
      <c r="JA36" s="346"/>
      <c r="JB36" s="346"/>
      <c r="JC36" s="346"/>
      <c r="JD36" s="346"/>
      <c r="JE36" s="361"/>
    </row>
    <row r="37" spans="1:265" s="175" customFormat="1" ht="19.95" customHeight="1">
      <c r="A37" s="453"/>
      <c r="B37" s="827"/>
      <c r="C37" s="328" t="s">
        <v>75</v>
      </c>
      <c r="D37" s="336"/>
      <c r="E37" s="454">
        <f>COUNTIFS(Table1351452010[[#All],[Sales]],"คุณพัชรพรรณ พึ่งพา",Table1351452010[[#All],[Total 
คอมฯค่าเชื่อมสัญญาณ
(3)]],"&gt;1")</f>
        <v>0</v>
      </c>
      <c r="F37" s="455">
        <f>SUMIF(Table1351452010[[#All],[Sales]],"คุณพัชรพรรณ พึ่งพา",Table1351452010[[#All],[Total 
คอมฯค่าเชื่อมสัญญาณ
(3)]])</f>
        <v>0</v>
      </c>
      <c r="G37" s="434">
        <v>0</v>
      </c>
      <c r="H37" s="436">
        <f t="shared" si="3"/>
        <v>0</v>
      </c>
      <c r="I37" s="359"/>
      <c r="J37" s="359"/>
      <c r="K37" s="359"/>
      <c r="L37" s="359"/>
      <c r="M37" s="360"/>
      <c r="N37" s="361"/>
      <c r="O37" s="361"/>
      <c r="P37" s="361"/>
      <c r="Q37" s="361"/>
      <c r="R37" s="361"/>
      <c r="S37" s="361"/>
      <c r="T37" s="361"/>
      <c r="U37" s="361"/>
      <c r="V37" s="361"/>
      <c r="W37" s="361"/>
      <c r="X37" s="361"/>
      <c r="Y37" s="361"/>
      <c r="Z37" s="361"/>
      <c r="AA37" s="361"/>
      <c r="AB37" s="361"/>
      <c r="AC37" s="361"/>
      <c r="AD37" s="361"/>
      <c r="AE37" s="361"/>
      <c r="AF37" s="361"/>
      <c r="AG37" s="361"/>
      <c r="AH37" s="361"/>
      <c r="AI37" s="361"/>
      <c r="AJ37" s="361"/>
      <c r="AK37" s="361"/>
      <c r="AL37" s="361"/>
      <c r="AM37" s="361"/>
      <c r="AN37" s="361"/>
      <c r="AO37" s="361"/>
      <c r="AP37" s="361"/>
      <c r="AQ37" s="361"/>
      <c r="AR37" s="361"/>
      <c r="AS37" s="361"/>
      <c r="AT37" s="361"/>
      <c r="AU37" s="361"/>
      <c r="AV37" s="361"/>
      <c r="AW37" s="361"/>
      <c r="AX37" s="361"/>
      <c r="AY37" s="361"/>
      <c r="AZ37" s="361"/>
      <c r="BA37" s="361"/>
      <c r="BB37" s="361"/>
      <c r="BC37" s="361"/>
      <c r="BD37" s="361"/>
      <c r="BE37" s="361"/>
      <c r="BF37" s="361"/>
      <c r="BG37" s="361"/>
      <c r="BH37" s="361"/>
      <c r="BI37" s="361"/>
      <c r="BJ37" s="361"/>
      <c r="BK37" s="361"/>
      <c r="BL37" s="361"/>
      <c r="BM37" s="361"/>
      <c r="BN37" s="361"/>
      <c r="BO37" s="361"/>
      <c r="BP37" s="361"/>
      <c r="BQ37" s="361"/>
      <c r="BR37" s="361"/>
      <c r="BS37" s="361"/>
      <c r="BT37" s="361"/>
      <c r="BU37" s="361"/>
      <c r="BV37" s="361"/>
      <c r="BW37" s="361"/>
      <c r="BX37" s="361"/>
      <c r="BY37" s="361"/>
      <c r="BZ37" s="361"/>
      <c r="CA37" s="361"/>
      <c r="CB37" s="361"/>
      <c r="CC37" s="361"/>
      <c r="CD37" s="361"/>
      <c r="CE37" s="361"/>
      <c r="CF37" s="361"/>
      <c r="CG37" s="361"/>
      <c r="CH37" s="361"/>
      <c r="CI37" s="361"/>
      <c r="CJ37" s="361"/>
      <c r="CK37" s="361"/>
      <c r="CL37" s="361"/>
      <c r="CM37" s="361"/>
      <c r="CN37" s="361"/>
      <c r="CO37" s="361"/>
      <c r="CP37" s="361"/>
      <c r="CQ37" s="361"/>
      <c r="CR37" s="361"/>
      <c r="CS37" s="361"/>
      <c r="CT37" s="361"/>
      <c r="CU37" s="361"/>
      <c r="CV37" s="361"/>
      <c r="CW37" s="361"/>
      <c r="CX37" s="361"/>
      <c r="CY37" s="361"/>
      <c r="CZ37" s="361"/>
      <c r="DA37" s="361"/>
      <c r="DB37" s="361"/>
      <c r="DC37" s="361"/>
      <c r="DD37" s="361"/>
      <c r="DE37" s="361"/>
      <c r="DF37" s="361"/>
      <c r="DG37" s="361"/>
      <c r="DH37" s="361"/>
      <c r="DI37" s="361"/>
      <c r="DJ37" s="361"/>
      <c r="DK37" s="361"/>
      <c r="DL37" s="361"/>
      <c r="DM37" s="361"/>
      <c r="DN37" s="361"/>
      <c r="DO37" s="361"/>
      <c r="DP37" s="361"/>
      <c r="DQ37" s="361"/>
      <c r="DR37" s="361"/>
      <c r="DS37" s="361"/>
      <c r="DT37" s="361"/>
      <c r="DU37" s="361"/>
      <c r="DV37" s="361"/>
      <c r="DW37" s="361"/>
      <c r="DX37" s="361"/>
      <c r="DY37" s="361"/>
      <c r="DZ37" s="361"/>
      <c r="EA37" s="361"/>
      <c r="EB37" s="361"/>
      <c r="EC37" s="361"/>
      <c r="ED37" s="361"/>
      <c r="EE37" s="361"/>
      <c r="EF37" s="361"/>
      <c r="EG37" s="361"/>
      <c r="EH37" s="361"/>
      <c r="EI37" s="361"/>
      <c r="EJ37" s="361"/>
      <c r="EK37" s="361"/>
      <c r="EL37" s="361"/>
      <c r="EM37" s="361"/>
      <c r="EN37" s="361"/>
      <c r="EO37" s="361"/>
      <c r="EP37" s="361"/>
      <c r="EQ37" s="361"/>
      <c r="ER37" s="361"/>
      <c r="ES37" s="361"/>
      <c r="ET37" s="361"/>
      <c r="EU37" s="361"/>
      <c r="EV37" s="361"/>
      <c r="EW37" s="361"/>
      <c r="EX37" s="361"/>
      <c r="EY37" s="361"/>
      <c r="EZ37" s="361"/>
      <c r="FA37" s="361"/>
      <c r="FB37" s="361"/>
      <c r="FC37" s="361"/>
      <c r="FD37" s="361"/>
      <c r="FE37" s="361"/>
      <c r="FF37" s="361"/>
      <c r="FG37" s="361"/>
      <c r="FH37" s="361"/>
      <c r="FI37" s="361"/>
      <c r="FJ37" s="361"/>
      <c r="FK37" s="361"/>
      <c r="FL37" s="361"/>
      <c r="FM37" s="361"/>
      <c r="FN37" s="361"/>
      <c r="FO37" s="361"/>
      <c r="FP37" s="361"/>
      <c r="FQ37" s="361"/>
      <c r="FR37" s="361"/>
      <c r="FS37" s="361"/>
      <c r="FT37" s="361"/>
      <c r="FU37" s="361"/>
      <c r="FV37" s="361"/>
      <c r="FW37" s="361"/>
      <c r="FX37" s="361"/>
      <c r="FY37" s="361"/>
      <c r="FZ37" s="361"/>
      <c r="GA37" s="361"/>
      <c r="GB37" s="361"/>
      <c r="GC37" s="361"/>
      <c r="GD37" s="361"/>
      <c r="GE37" s="361"/>
      <c r="GF37" s="361"/>
      <c r="GG37" s="361"/>
      <c r="GH37" s="361"/>
      <c r="GI37" s="361"/>
      <c r="GJ37" s="361"/>
      <c r="GK37" s="361"/>
      <c r="GL37" s="361"/>
      <c r="GM37" s="361"/>
      <c r="GN37" s="361"/>
      <c r="GO37" s="361"/>
      <c r="GP37" s="361"/>
      <c r="GQ37" s="361"/>
      <c r="GR37" s="361"/>
      <c r="GS37" s="361"/>
      <c r="GT37" s="361"/>
      <c r="GU37" s="361"/>
      <c r="GV37" s="361"/>
      <c r="GW37" s="361"/>
      <c r="GX37" s="361"/>
      <c r="GY37" s="361"/>
      <c r="GZ37" s="361"/>
      <c r="HA37" s="361"/>
      <c r="HB37" s="361"/>
      <c r="HC37" s="361"/>
      <c r="HD37" s="361"/>
      <c r="HE37" s="361"/>
      <c r="HF37" s="361"/>
      <c r="HG37" s="361"/>
      <c r="HH37" s="361"/>
      <c r="HI37" s="361"/>
      <c r="HJ37" s="361"/>
      <c r="HK37" s="361"/>
      <c r="HL37" s="361"/>
      <c r="HM37" s="361"/>
      <c r="HN37" s="361"/>
      <c r="HO37" s="361"/>
      <c r="HP37" s="361"/>
      <c r="HQ37" s="361"/>
      <c r="HR37" s="361"/>
      <c r="HS37" s="361"/>
      <c r="HT37" s="361"/>
      <c r="HU37" s="361"/>
      <c r="HV37" s="361"/>
      <c r="HW37" s="361"/>
      <c r="HX37" s="361"/>
      <c r="HY37" s="361"/>
      <c r="HZ37" s="361"/>
      <c r="IA37" s="361"/>
      <c r="IB37" s="361"/>
      <c r="IC37" s="361"/>
      <c r="ID37" s="361"/>
      <c r="IE37" s="361"/>
      <c r="IF37" s="361"/>
      <c r="IG37" s="361"/>
      <c r="IH37" s="361"/>
      <c r="II37" s="361"/>
      <c r="IJ37" s="361"/>
      <c r="IK37" s="361"/>
      <c r="IL37" s="361"/>
      <c r="IM37" s="361"/>
      <c r="IN37" s="361"/>
      <c r="IO37" s="361"/>
      <c r="IP37" s="361"/>
      <c r="IQ37" s="361"/>
      <c r="IR37" s="361"/>
      <c r="IS37" s="361"/>
      <c r="IT37" s="361"/>
      <c r="IU37" s="361"/>
      <c r="IV37" s="361"/>
      <c r="IW37" s="361"/>
      <c r="IX37" s="361"/>
      <c r="IY37" s="346" t="s">
        <v>73</v>
      </c>
      <c r="IZ37" s="346"/>
      <c r="JA37" s="346"/>
      <c r="JB37" s="346"/>
      <c r="JC37" s="346"/>
      <c r="JD37" s="346"/>
      <c r="JE37" s="361"/>
    </row>
    <row r="38" spans="1:265" s="175" customFormat="1" ht="19.95" customHeight="1">
      <c r="A38" s="453"/>
      <c r="B38" s="827"/>
      <c r="C38" s="328" t="s">
        <v>154</v>
      </c>
      <c r="D38" s="336"/>
      <c r="E38" s="454">
        <f>COUNTIFS(Table1351452010[[#All],[Sales]],"คุณนรินทร์ ปิงมูล",Table1351452010[[#All],[Total 
คอมฯค่าเชื่อมสัญญาณ
(3)]],"&gt;1")</f>
        <v>0</v>
      </c>
      <c r="F38" s="455">
        <f>SUMIF(Table1351452010[[#All],[Sales]],"คุณนรินทร์ ปิงมูล",Table1351452010[[#All],[Total 
คอมฯค่าเชื่อมสัญญาณ
(3)]])</f>
        <v>0</v>
      </c>
      <c r="G38" s="434">
        <v>0</v>
      </c>
      <c r="H38" s="436">
        <f t="shared" si="3"/>
        <v>0</v>
      </c>
      <c r="I38" s="359"/>
      <c r="J38" s="359"/>
      <c r="K38" s="359"/>
      <c r="L38" s="359"/>
      <c r="M38" s="360"/>
      <c r="N38" s="361"/>
      <c r="O38" s="361"/>
      <c r="P38" s="361"/>
      <c r="Q38" s="361"/>
      <c r="R38" s="361"/>
      <c r="S38" s="361"/>
      <c r="T38" s="361"/>
      <c r="U38" s="361"/>
      <c r="V38" s="361"/>
      <c r="W38" s="361"/>
      <c r="X38" s="361"/>
      <c r="Y38" s="361"/>
      <c r="Z38" s="361"/>
      <c r="AA38" s="361"/>
      <c r="AB38" s="361"/>
      <c r="AC38" s="361"/>
      <c r="AD38" s="361"/>
      <c r="AE38" s="361"/>
      <c r="AF38" s="361"/>
      <c r="AG38" s="361"/>
      <c r="AH38" s="361"/>
      <c r="AI38" s="361"/>
      <c r="AJ38" s="361"/>
      <c r="AK38" s="361"/>
      <c r="AL38" s="361"/>
      <c r="AM38" s="361"/>
      <c r="AN38" s="361"/>
      <c r="AO38" s="361"/>
      <c r="AP38" s="361"/>
      <c r="AQ38" s="361"/>
      <c r="AR38" s="361"/>
      <c r="AS38" s="361"/>
      <c r="AT38" s="361"/>
      <c r="AU38" s="361"/>
      <c r="AV38" s="361"/>
      <c r="AW38" s="361"/>
      <c r="AX38" s="361"/>
      <c r="AY38" s="361"/>
      <c r="AZ38" s="361"/>
      <c r="BA38" s="361"/>
      <c r="BB38" s="361"/>
      <c r="BC38" s="361"/>
      <c r="BD38" s="361"/>
      <c r="BE38" s="361"/>
      <c r="BF38" s="361"/>
      <c r="BG38" s="361"/>
      <c r="BH38" s="361"/>
      <c r="BI38" s="361"/>
      <c r="BJ38" s="361"/>
      <c r="BK38" s="361"/>
      <c r="BL38" s="361"/>
      <c r="BM38" s="361"/>
      <c r="BN38" s="361"/>
      <c r="BO38" s="361"/>
      <c r="BP38" s="361"/>
      <c r="BQ38" s="361"/>
      <c r="BR38" s="361"/>
      <c r="BS38" s="361"/>
      <c r="BT38" s="361"/>
      <c r="BU38" s="361"/>
      <c r="BV38" s="361"/>
      <c r="BW38" s="361"/>
      <c r="BX38" s="361"/>
      <c r="BY38" s="361"/>
      <c r="BZ38" s="361"/>
      <c r="CA38" s="361"/>
      <c r="CB38" s="361"/>
      <c r="CC38" s="361"/>
      <c r="CD38" s="361"/>
      <c r="CE38" s="361"/>
      <c r="CF38" s="361"/>
      <c r="CG38" s="361"/>
      <c r="CH38" s="361"/>
      <c r="CI38" s="361"/>
      <c r="CJ38" s="361"/>
      <c r="CK38" s="361"/>
      <c r="CL38" s="361"/>
      <c r="CM38" s="361"/>
      <c r="CN38" s="361"/>
      <c r="CO38" s="361"/>
      <c r="CP38" s="361"/>
      <c r="CQ38" s="361"/>
      <c r="CR38" s="361"/>
      <c r="CS38" s="361"/>
      <c r="CT38" s="361"/>
      <c r="CU38" s="361"/>
      <c r="CV38" s="361"/>
      <c r="CW38" s="361"/>
      <c r="CX38" s="361"/>
      <c r="CY38" s="361"/>
      <c r="CZ38" s="361"/>
      <c r="DA38" s="361"/>
      <c r="DB38" s="361"/>
      <c r="DC38" s="361"/>
      <c r="DD38" s="361"/>
      <c r="DE38" s="361"/>
      <c r="DF38" s="361"/>
      <c r="DG38" s="361"/>
      <c r="DH38" s="361"/>
      <c r="DI38" s="361"/>
      <c r="DJ38" s="361"/>
      <c r="DK38" s="361"/>
      <c r="DL38" s="361"/>
      <c r="DM38" s="361"/>
      <c r="DN38" s="361"/>
      <c r="DO38" s="361"/>
      <c r="DP38" s="361"/>
      <c r="DQ38" s="361"/>
      <c r="DR38" s="361"/>
      <c r="DS38" s="361"/>
      <c r="DT38" s="361"/>
      <c r="DU38" s="361"/>
      <c r="DV38" s="361"/>
      <c r="DW38" s="361"/>
      <c r="DX38" s="361"/>
      <c r="DY38" s="361"/>
      <c r="DZ38" s="361"/>
      <c r="EA38" s="361"/>
      <c r="EB38" s="361"/>
      <c r="EC38" s="361"/>
      <c r="ED38" s="361"/>
      <c r="EE38" s="361"/>
      <c r="EF38" s="361"/>
      <c r="EG38" s="361"/>
      <c r="EH38" s="361"/>
      <c r="EI38" s="361"/>
      <c r="EJ38" s="361"/>
      <c r="EK38" s="361"/>
      <c r="EL38" s="361"/>
      <c r="EM38" s="361"/>
      <c r="EN38" s="361"/>
      <c r="EO38" s="361"/>
      <c r="EP38" s="361"/>
      <c r="EQ38" s="361"/>
      <c r="ER38" s="361"/>
      <c r="ES38" s="361"/>
      <c r="ET38" s="361"/>
      <c r="EU38" s="361"/>
      <c r="EV38" s="361"/>
      <c r="EW38" s="361"/>
      <c r="EX38" s="361"/>
      <c r="EY38" s="361"/>
      <c r="EZ38" s="361"/>
      <c r="FA38" s="361"/>
      <c r="FB38" s="361"/>
      <c r="FC38" s="361"/>
      <c r="FD38" s="361"/>
      <c r="FE38" s="361"/>
      <c r="FF38" s="361"/>
      <c r="FG38" s="361"/>
      <c r="FH38" s="361"/>
      <c r="FI38" s="361"/>
      <c r="FJ38" s="361"/>
      <c r="FK38" s="361"/>
      <c r="FL38" s="361"/>
      <c r="FM38" s="361"/>
      <c r="FN38" s="361"/>
      <c r="FO38" s="361"/>
      <c r="FP38" s="361"/>
      <c r="FQ38" s="361"/>
      <c r="FR38" s="361"/>
      <c r="FS38" s="361"/>
      <c r="FT38" s="361"/>
      <c r="FU38" s="361"/>
      <c r="FV38" s="361"/>
      <c r="FW38" s="361"/>
      <c r="FX38" s="361"/>
      <c r="FY38" s="361"/>
      <c r="FZ38" s="361"/>
      <c r="GA38" s="361"/>
      <c r="GB38" s="361"/>
      <c r="GC38" s="361"/>
      <c r="GD38" s="361"/>
      <c r="GE38" s="361"/>
      <c r="GF38" s="361"/>
      <c r="GG38" s="361"/>
      <c r="GH38" s="361"/>
      <c r="GI38" s="361"/>
      <c r="GJ38" s="361"/>
      <c r="GK38" s="361"/>
      <c r="GL38" s="361"/>
      <c r="GM38" s="361"/>
      <c r="GN38" s="361"/>
      <c r="GO38" s="361"/>
      <c r="GP38" s="361"/>
      <c r="GQ38" s="361"/>
      <c r="GR38" s="361"/>
      <c r="GS38" s="361"/>
      <c r="GT38" s="361"/>
      <c r="GU38" s="361"/>
      <c r="GV38" s="361"/>
      <c r="GW38" s="361"/>
      <c r="GX38" s="361"/>
      <c r="GY38" s="361"/>
      <c r="GZ38" s="361"/>
      <c r="HA38" s="361"/>
      <c r="HB38" s="361"/>
      <c r="HC38" s="361"/>
      <c r="HD38" s="361"/>
      <c r="HE38" s="361"/>
      <c r="HF38" s="361"/>
      <c r="HG38" s="361"/>
      <c r="HH38" s="361"/>
      <c r="HI38" s="361"/>
      <c r="HJ38" s="361"/>
      <c r="HK38" s="361"/>
      <c r="HL38" s="361"/>
      <c r="HM38" s="361"/>
      <c r="HN38" s="361"/>
      <c r="HO38" s="361"/>
      <c r="HP38" s="361"/>
      <c r="HQ38" s="361"/>
      <c r="HR38" s="361"/>
      <c r="HS38" s="361"/>
      <c r="HT38" s="361"/>
      <c r="HU38" s="361"/>
      <c r="HV38" s="361"/>
      <c r="HW38" s="361"/>
      <c r="HX38" s="361"/>
      <c r="HY38" s="361"/>
      <c r="HZ38" s="361"/>
      <c r="IA38" s="361"/>
      <c r="IB38" s="361"/>
      <c r="IC38" s="361"/>
      <c r="ID38" s="361"/>
      <c r="IE38" s="361"/>
      <c r="IF38" s="361"/>
      <c r="IG38" s="361"/>
      <c r="IH38" s="361"/>
      <c r="II38" s="361"/>
      <c r="IJ38" s="361"/>
      <c r="IK38" s="361"/>
      <c r="IL38" s="361"/>
      <c r="IM38" s="361"/>
      <c r="IN38" s="361"/>
      <c r="IO38" s="361"/>
      <c r="IP38" s="361"/>
      <c r="IQ38" s="361"/>
      <c r="IR38" s="361"/>
      <c r="IS38" s="361"/>
      <c r="IT38" s="361"/>
      <c r="IU38" s="361"/>
      <c r="IV38" s="361"/>
      <c r="IW38" s="361"/>
      <c r="IX38" s="361"/>
      <c r="IY38" s="346" t="s">
        <v>74</v>
      </c>
      <c r="IZ38" s="346"/>
      <c r="JA38" s="346"/>
      <c r="JB38" s="346"/>
      <c r="JC38" s="346"/>
      <c r="JD38" s="346"/>
      <c r="JE38" s="361"/>
    </row>
    <row r="39" spans="1:265" s="175" customFormat="1" ht="19.95" customHeight="1">
      <c r="A39" s="453"/>
      <c r="B39" s="827"/>
      <c r="C39" s="328" t="s">
        <v>130</v>
      </c>
      <c r="D39" s="336"/>
      <c r="E39" s="454">
        <f>COUNTIFS(Table1351452010[[#All],[Sales]],"คุณชนัฐฎา สนคะมี",Table1351452010[[#All],[Total 
คอมฯค่าเชื่อมสัญญาณ
(3)]],"&gt;1")</f>
        <v>0</v>
      </c>
      <c r="F39" s="455">
        <f>SUMIF(Table1351452010[[#All],[Sales]],"คุณชนัฐฎา สนคะมี",Table1351452010[[#All],[Total 
คอมฯค่าเชื่อมสัญญาณ
(3)]])</f>
        <v>0</v>
      </c>
      <c r="G39" s="434">
        <v>0</v>
      </c>
      <c r="H39" s="436">
        <f t="shared" si="3"/>
        <v>0</v>
      </c>
      <c r="I39" s="359"/>
      <c r="J39" s="359"/>
      <c r="K39" s="359"/>
      <c r="L39" s="359"/>
      <c r="M39" s="360"/>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c r="AL39" s="361"/>
      <c r="AM39" s="361"/>
      <c r="AN39" s="361"/>
      <c r="AO39" s="361"/>
      <c r="AP39" s="361"/>
      <c r="AQ39" s="361"/>
      <c r="AR39" s="361"/>
      <c r="AS39" s="361"/>
      <c r="AT39" s="361"/>
      <c r="AU39" s="361"/>
      <c r="AV39" s="361"/>
      <c r="AW39" s="361"/>
      <c r="AX39" s="361"/>
      <c r="AY39" s="361"/>
      <c r="AZ39" s="361"/>
      <c r="BA39" s="361"/>
      <c r="BB39" s="361"/>
      <c r="BC39" s="361"/>
      <c r="BD39" s="361"/>
      <c r="BE39" s="361"/>
      <c r="BF39" s="361"/>
      <c r="BG39" s="361"/>
      <c r="BH39" s="361"/>
      <c r="BI39" s="361"/>
      <c r="BJ39" s="361"/>
      <c r="BK39" s="361"/>
      <c r="BL39" s="361"/>
      <c r="BM39" s="361"/>
      <c r="BN39" s="361"/>
      <c r="BO39" s="361"/>
      <c r="BP39" s="361"/>
      <c r="BQ39" s="361"/>
      <c r="BR39" s="361"/>
      <c r="BS39" s="361"/>
      <c r="BT39" s="361"/>
      <c r="BU39" s="361"/>
      <c r="BV39" s="361"/>
      <c r="BW39" s="361"/>
      <c r="BX39" s="361"/>
      <c r="BY39" s="361"/>
      <c r="BZ39" s="361"/>
      <c r="CA39" s="361"/>
      <c r="CB39" s="361"/>
      <c r="CC39" s="361"/>
      <c r="CD39" s="361"/>
      <c r="CE39" s="361"/>
      <c r="CF39" s="361"/>
      <c r="CG39" s="361"/>
      <c r="CH39" s="361"/>
      <c r="CI39" s="361"/>
      <c r="CJ39" s="361"/>
      <c r="CK39" s="361"/>
      <c r="CL39" s="361"/>
      <c r="CM39" s="361"/>
      <c r="CN39" s="361"/>
      <c r="CO39" s="361"/>
      <c r="CP39" s="361"/>
      <c r="CQ39" s="361"/>
      <c r="CR39" s="361"/>
      <c r="CS39" s="361"/>
      <c r="CT39" s="361"/>
      <c r="CU39" s="361"/>
      <c r="CV39" s="361"/>
      <c r="CW39" s="361"/>
      <c r="CX39" s="361"/>
      <c r="CY39" s="361"/>
      <c r="CZ39" s="361"/>
      <c r="DA39" s="361"/>
      <c r="DB39" s="361"/>
      <c r="DC39" s="361"/>
      <c r="DD39" s="361"/>
      <c r="DE39" s="361"/>
      <c r="DF39" s="361"/>
      <c r="DG39" s="361"/>
      <c r="DH39" s="361"/>
      <c r="DI39" s="361"/>
      <c r="DJ39" s="361"/>
      <c r="DK39" s="361"/>
      <c r="DL39" s="361"/>
      <c r="DM39" s="361"/>
      <c r="DN39" s="361"/>
      <c r="DO39" s="361"/>
      <c r="DP39" s="361"/>
      <c r="DQ39" s="361"/>
      <c r="DR39" s="361"/>
      <c r="DS39" s="361"/>
      <c r="DT39" s="361"/>
      <c r="DU39" s="361"/>
      <c r="DV39" s="361"/>
      <c r="DW39" s="361"/>
      <c r="DX39" s="361"/>
      <c r="DY39" s="361"/>
      <c r="DZ39" s="361"/>
      <c r="EA39" s="361"/>
      <c r="EB39" s="361"/>
      <c r="EC39" s="361"/>
      <c r="ED39" s="361"/>
      <c r="EE39" s="361"/>
      <c r="EF39" s="361"/>
      <c r="EG39" s="361"/>
      <c r="EH39" s="361"/>
      <c r="EI39" s="361"/>
      <c r="EJ39" s="361"/>
      <c r="EK39" s="361"/>
      <c r="EL39" s="361"/>
      <c r="EM39" s="361"/>
      <c r="EN39" s="361"/>
      <c r="EO39" s="361"/>
      <c r="EP39" s="361"/>
      <c r="EQ39" s="361"/>
      <c r="ER39" s="361"/>
      <c r="ES39" s="361"/>
      <c r="ET39" s="361"/>
      <c r="EU39" s="361"/>
      <c r="EV39" s="361"/>
      <c r="EW39" s="361"/>
      <c r="EX39" s="361"/>
      <c r="EY39" s="361"/>
      <c r="EZ39" s="361"/>
      <c r="FA39" s="361"/>
      <c r="FB39" s="361"/>
      <c r="FC39" s="361"/>
      <c r="FD39" s="361"/>
      <c r="FE39" s="361"/>
      <c r="FF39" s="361"/>
      <c r="FG39" s="361"/>
      <c r="FH39" s="361"/>
      <c r="FI39" s="361"/>
      <c r="FJ39" s="361"/>
      <c r="FK39" s="361"/>
      <c r="FL39" s="361"/>
      <c r="FM39" s="361"/>
      <c r="FN39" s="361"/>
      <c r="FO39" s="361"/>
      <c r="FP39" s="361"/>
      <c r="FQ39" s="361"/>
      <c r="FR39" s="361"/>
      <c r="FS39" s="361"/>
      <c r="FT39" s="361"/>
      <c r="FU39" s="361"/>
      <c r="FV39" s="361"/>
      <c r="FW39" s="361"/>
      <c r="FX39" s="361"/>
      <c r="FY39" s="361"/>
      <c r="FZ39" s="361"/>
      <c r="GA39" s="361"/>
      <c r="GB39" s="361"/>
      <c r="GC39" s="361"/>
      <c r="GD39" s="361"/>
      <c r="GE39" s="361"/>
      <c r="GF39" s="361"/>
      <c r="GG39" s="361"/>
      <c r="GH39" s="361"/>
      <c r="GI39" s="361"/>
      <c r="GJ39" s="361"/>
      <c r="GK39" s="361"/>
      <c r="GL39" s="361"/>
      <c r="GM39" s="361"/>
      <c r="GN39" s="361"/>
      <c r="GO39" s="361"/>
      <c r="GP39" s="361"/>
      <c r="GQ39" s="361"/>
      <c r="GR39" s="361"/>
      <c r="GS39" s="361"/>
      <c r="GT39" s="361"/>
      <c r="GU39" s="361"/>
      <c r="GV39" s="361"/>
      <c r="GW39" s="361"/>
      <c r="GX39" s="361"/>
      <c r="GY39" s="361"/>
      <c r="GZ39" s="361"/>
      <c r="HA39" s="361"/>
      <c r="HB39" s="361"/>
      <c r="HC39" s="361"/>
      <c r="HD39" s="361"/>
      <c r="HE39" s="361"/>
      <c r="HF39" s="361"/>
      <c r="HG39" s="361"/>
      <c r="HH39" s="361"/>
      <c r="HI39" s="361"/>
      <c r="HJ39" s="361"/>
      <c r="HK39" s="361"/>
      <c r="HL39" s="361"/>
      <c r="HM39" s="361"/>
      <c r="HN39" s="361"/>
      <c r="HO39" s="361"/>
      <c r="HP39" s="361"/>
      <c r="HQ39" s="361"/>
      <c r="HR39" s="361"/>
      <c r="HS39" s="361"/>
      <c r="HT39" s="361"/>
      <c r="HU39" s="361"/>
      <c r="HV39" s="361"/>
      <c r="HW39" s="361"/>
      <c r="HX39" s="361"/>
      <c r="HY39" s="361"/>
      <c r="HZ39" s="361"/>
      <c r="IA39" s="361"/>
      <c r="IB39" s="361"/>
      <c r="IC39" s="361"/>
      <c r="ID39" s="361"/>
      <c r="IE39" s="361"/>
      <c r="IF39" s="361"/>
      <c r="IG39" s="361"/>
      <c r="IH39" s="361"/>
      <c r="II39" s="361"/>
      <c r="IJ39" s="361"/>
      <c r="IK39" s="361"/>
      <c r="IL39" s="361"/>
      <c r="IM39" s="361"/>
      <c r="IN39" s="361"/>
      <c r="IO39" s="361"/>
      <c r="IP39" s="361"/>
      <c r="IQ39" s="361"/>
      <c r="IR39" s="361"/>
      <c r="IS39" s="361"/>
      <c r="IT39" s="361"/>
      <c r="IU39" s="361"/>
      <c r="IV39" s="361"/>
      <c r="IW39" s="361"/>
      <c r="IX39" s="361"/>
      <c r="IY39" s="346" t="s">
        <v>75</v>
      </c>
      <c r="IZ39" s="346"/>
      <c r="JA39" s="346"/>
      <c r="JB39" s="346"/>
      <c r="JC39" s="346"/>
      <c r="JD39" s="346"/>
      <c r="JE39" s="361"/>
    </row>
    <row r="40" spans="1:265" s="175" customFormat="1" ht="19.95" customHeight="1">
      <c r="A40" s="453"/>
      <c r="B40" s="827"/>
      <c r="C40" s="328" t="s">
        <v>153</v>
      </c>
      <c r="D40" s="336"/>
      <c r="E40" s="454">
        <f>COUNTIFS(Table1351452010[[#All],[Sales]],"คุณจิรภิญญา เป็นปึก",Table1351452010[[#All],[Total 
คอมฯค่าเชื่อมสัญญาณ
(3)]],"&gt;1")</f>
        <v>0</v>
      </c>
      <c r="F40" s="455">
        <f>SUMIF(Table1351452010[[#All],[Sales]],"คุณจิรภิญญา เป็นปึก",Table1351452010[[#All],[Total 
คอมฯค่าเชื่อมสัญญาณ
(3)]])</f>
        <v>0</v>
      </c>
      <c r="G40" s="434">
        <v>0</v>
      </c>
      <c r="H40" s="436">
        <f t="shared" si="3"/>
        <v>0</v>
      </c>
      <c r="I40" s="359"/>
      <c r="J40" s="359"/>
      <c r="K40" s="359"/>
      <c r="L40" s="359"/>
      <c r="M40" s="360"/>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361"/>
      <c r="AN40" s="361"/>
      <c r="AO40" s="361"/>
      <c r="AP40" s="361"/>
      <c r="AQ40" s="361"/>
      <c r="AR40" s="361"/>
      <c r="AS40" s="361"/>
      <c r="AT40" s="361"/>
      <c r="AU40" s="361"/>
      <c r="AV40" s="361"/>
      <c r="AW40" s="361"/>
      <c r="AX40" s="361"/>
      <c r="AY40" s="361"/>
      <c r="AZ40" s="361"/>
      <c r="BA40" s="361"/>
      <c r="BB40" s="361"/>
      <c r="BC40" s="361"/>
      <c r="BD40" s="361"/>
      <c r="BE40" s="361"/>
      <c r="BF40" s="361"/>
      <c r="BG40" s="361"/>
      <c r="BH40" s="361"/>
      <c r="BI40" s="361"/>
      <c r="BJ40" s="361"/>
      <c r="BK40" s="361"/>
      <c r="BL40" s="361"/>
      <c r="BM40" s="361"/>
      <c r="BN40" s="361"/>
      <c r="BO40" s="361"/>
      <c r="BP40" s="361"/>
      <c r="BQ40" s="361"/>
      <c r="BR40" s="361"/>
      <c r="BS40" s="361"/>
      <c r="BT40" s="361"/>
      <c r="BU40" s="361"/>
      <c r="BV40" s="361"/>
      <c r="BW40" s="361"/>
      <c r="BX40" s="361"/>
      <c r="BY40" s="361"/>
      <c r="BZ40" s="361"/>
      <c r="CA40" s="361"/>
      <c r="CB40" s="361"/>
      <c r="CC40" s="361"/>
      <c r="CD40" s="361"/>
      <c r="CE40" s="361"/>
      <c r="CF40" s="361"/>
      <c r="CG40" s="361"/>
      <c r="CH40" s="361"/>
      <c r="CI40" s="361"/>
      <c r="CJ40" s="361"/>
      <c r="CK40" s="361"/>
      <c r="CL40" s="361"/>
      <c r="CM40" s="361"/>
      <c r="CN40" s="361"/>
      <c r="CO40" s="361"/>
      <c r="CP40" s="361"/>
      <c r="CQ40" s="361"/>
      <c r="CR40" s="361"/>
      <c r="CS40" s="361"/>
      <c r="CT40" s="361"/>
      <c r="CU40" s="361"/>
      <c r="CV40" s="361"/>
      <c r="CW40" s="361"/>
      <c r="CX40" s="361"/>
      <c r="CY40" s="361"/>
      <c r="CZ40" s="361"/>
      <c r="DA40" s="361"/>
      <c r="DB40" s="361"/>
      <c r="DC40" s="361"/>
      <c r="DD40" s="361"/>
      <c r="DE40" s="361"/>
      <c r="DF40" s="361"/>
      <c r="DG40" s="361"/>
      <c r="DH40" s="361"/>
      <c r="DI40" s="361"/>
      <c r="DJ40" s="361"/>
      <c r="DK40" s="361"/>
      <c r="DL40" s="361"/>
      <c r="DM40" s="361"/>
      <c r="DN40" s="361"/>
      <c r="DO40" s="361"/>
      <c r="DP40" s="361"/>
      <c r="DQ40" s="361"/>
      <c r="DR40" s="361"/>
      <c r="DS40" s="361"/>
      <c r="DT40" s="361"/>
      <c r="DU40" s="361"/>
      <c r="DV40" s="361"/>
      <c r="DW40" s="361"/>
      <c r="DX40" s="361"/>
      <c r="DY40" s="361"/>
      <c r="DZ40" s="361"/>
      <c r="EA40" s="361"/>
      <c r="EB40" s="361"/>
      <c r="EC40" s="361"/>
      <c r="ED40" s="361"/>
      <c r="EE40" s="361"/>
      <c r="EF40" s="361"/>
      <c r="EG40" s="361"/>
      <c r="EH40" s="361"/>
      <c r="EI40" s="361"/>
      <c r="EJ40" s="361"/>
      <c r="EK40" s="361"/>
      <c r="EL40" s="361"/>
      <c r="EM40" s="361"/>
      <c r="EN40" s="361"/>
      <c r="EO40" s="361"/>
      <c r="EP40" s="361"/>
      <c r="EQ40" s="361"/>
      <c r="ER40" s="361"/>
      <c r="ES40" s="361"/>
      <c r="ET40" s="361"/>
      <c r="EU40" s="361"/>
      <c r="EV40" s="361"/>
      <c r="EW40" s="361"/>
      <c r="EX40" s="361"/>
      <c r="EY40" s="361"/>
      <c r="EZ40" s="361"/>
      <c r="FA40" s="361"/>
      <c r="FB40" s="361"/>
      <c r="FC40" s="361"/>
      <c r="FD40" s="361"/>
      <c r="FE40" s="361"/>
      <c r="FF40" s="361"/>
      <c r="FG40" s="361"/>
      <c r="FH40" s="361"/>
      <c r="FI40" s="361"/>
      <c r="FJ40" s="361"/>
      <c r="FK40" s="361"/>
      <c r="FL40" s="361"/>
      <c r="FM40" s="361"/>
      <c r="FN40" s="361"/>
      <c r="FO40" s="361"/>
      <c r="FP40" s="361"/>
      <c r="FQ40" s="361"/>
      <c r="FR40" s="361"/>
      <c r="FS40" s="361"/>
      <c r="FT40" s="361"/>
      <c r="FU40" s="361"/>
      <c r="FV40" s="361"/>
      <c r="FW40" s="361"/>
      <c r="FX40" s="361"/>
      <c r="FY40" s="361"/>
      <c r="FZ40" s="361"/>
      <c r="GA40" s="361"/>
      <c r="GB40" s="361"/>
      <c r="GC40" s="361"/>
      <c r="GD40" s="361"/>
      <c r="GE40" s="361"/>
      <c r="GF40" s="361"/>
      <c r="GG40" s="361"/>
      <c r="GH40" s="361"/>
      <c r="GI40" s="361"/>
      <c r="GJ40" s="361"/>
      <c r="GK40" s="361"/>
      <c r="GL40" s="361"/>
      <c r="GM40" s="361"/>
      <c r="GN40" s="361"/>
      <c r="GO40" s="361"/>
      <c r="GP40" s="361"/>
      <c r="GQ40" s="361"/>
      <c r="GR40" s="361"/>
      <c r="GS40" s="361"/>
      <c r="GT40" s="361"/>
      <c r="GU40" s="361"/>
      <c r="GV40" s="361"/>
      <c r="GW40" s="361"/>
      <c r="GX40" s="361"/>
      <c r="GY40" s="361"/>
      <c r="GZ40" s="361"/>
      <c r="HA40" s="361"/>
      <c r="HB40" s="361"/>
      <c r="HC40" s="361"/>
      <c r="HD40" s="361"/>
      <c r="HE40" s="361"/>
      <c r="HF40" s="361"/>
      <c r="HG40" s="361"/>
      <c r="HH40" s="361"/>
      <c r="HI40" s="361"/>
      <c r="HJ40" s="361"/>
      <c r="HK40" s="361"/>
      <c r="HL40" s="361"/>
      <c r="HM40" s="361"/>
      <c r="HN40" s="361"/>
      <c r="HO40" s="361"/>
      <c r="HP40" s="361"/>
      <c r="HQ40" s="361"/>
      <c r="HR40" s="361"/>
      <c r="HS40" s="361"/>
      <c r="HT40" s="361"/>
      <c r="HU40" s="361"/>
      <c r="HV40" s="361"/>
      <c r="HW40" s="361"/>
      <c r="HX40" s="361"/>
      <c r="HY40" s="361"/>
      <c r="HZ40" s="361"/>
      <c r="IA40" s="361"/>
      <c r="IB40" s="361"/>
      <c r="IC40" s="361"/>
      <c r="ID40" s="361"/>
      <c r="IE40" s="361"/>
      <c r="IF40" s="361"/>
      <c r="IG40" s="361"/>
      <c r="IH40" s="361"/>
      <c r="II40" s="361"/>
      <c r="IJ40" s="361"/>
      <c r="IK40" s="361"/>
      <c r="IL40" s="361"/>
      <c r="IM40" s="361"/>
      <c r="IN40" s="361"/>
      <c r="IO40" s="361"/>
      <c r="IP40" s="361"/>
      <c r="IQ40" s="361"/>
      <c r="IR40" s="361"/>
      <c r="IS40" s="361"/>
      <c r="IT40" s="361"/>
      <c r="IU40" s="361"/>
      <c r="IV40" s="361"/>
      <c r="IW40" s="361"/>
      <c r="IX40" s="361"/>
      <c r="IY40" s="346" t="s">
        <v>154</v>
      </c>
      <c r="IZ40" s="346"/>
      <c r="JA40" s="346"/>
      <c r="JB40" s="346"/>
      <c r="JC40" s="346"/>
      <c r="JD40" s="346"/>
      <c r="JE40" s="361"/>
    </row>
    <row r="41" spans="1:265" s="175" customFormat="1" ht="19.95" customHeight="1">
      <c r="A41" s="453"/>
      <c r="B41" s="827"/>
      <c r="C41" s="328" t="s">
        <v>72</v>
      </c>
      <c r="D41" s="336"/>
      <c r="E41" s="454">
        <f>COUNTIFS(Table1351452010[[#All],[Sales]],"คุณแดง มูลสองแคว",Table1351452010[[#All],[Total 
คอมฯค่าเชื่อมสัญญาณ
(3)]],"&gt;1")</f>
        <v>0</v>
      </c>
      <c r="F41" s="455">
        <f>SUMIF(Table1351452010[[#All],[Sales]],"คุณแดง มูลสองแคว",Table1351452010[[#All],[Total 
คอมฯค่าเชื่อมสัญญาณ
(3)]])</f>
        <v>0</v>
      </c>
      <c r="G41" s="434">
        <v>0</v>
      </c>
      <c r="H41" s="436">
        <f t="shared" si="3"/>
        <v>0</v>
      </c>
      <c r="I41" s="359"/>
      <c r="J41" s="359"/>
      <c r="K41" s="359"/>
      <c r="L41" s="359"/>
      <c r="M41" s="360"/>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c r="AM41" s="361"/>
      <c r="AN41" s="361"/>
      <c r="AO41" s="361"/>
      <c r="AP41" s="361"/>
      <c r="AQ41" s="361"/>
      <c r="AR41" s="361"/>
      <c r="AS41" s="361"/>
      <c r="AT41" s="361"/>
      <c r="AU41" s="361"/>
      <c r="AV41" s="361"/>
      <c r="AW41" s="361"/>
      <c r="AX41" s="361"/>
      <c r="AY41" s="361"/>
      <c r="AZ41" s="361"/>
      <c r="BA41" s="361"/>
      <c r="BB41" s="361"/>
      <c r="BC41" s="361"/>
      <c r="BD41" s="361"/>
      <c r="BE41" s="361"/>
      <c r="BF41" s="361"/>
      <c r="BG41" s="361"/>
      <c r="BH41" s="361"/>
      <c r="BI41" s="361"/>
      <c r="BJ41" s="361"/>
      <c r="BK41" s="361"/>
      <c r="BL41" s="361"/>
      <c r="BM41" s="361"/>
      <c r="BN41" s="361"/>
      <c r="BO41" s="361"/>
      <c r="BP41" s="361"/>
      <c r="BQ41" s="361"/>
      <c r="BR41" s="361"/>
      <c r="BS41" s="361"/>
      <c r="BT41" s="361"/>
      <c r="BU41" s="361"/>
      <c r="BV41" s="361"/>
      <c r="BW41" s="361"/>
      <c r="BX41" s="361"/>
      <c r="BY41" s="361"/>
      <c r="BZ41" s="361"/>
      <c r="CA41" s="361"/>
      <c r="CB41" s="361"/>
      <c r="CC41" s="361"/>
      <c r="CD41" s="361"/>
      <c r="CE41" s="361"/>
      <c r="CF41" s="361"/>
      <c r="CG41" s="361"/>
      <c r="CH41" s="361"/>
      <c r="CI41" s="361"/>
      <c r="CJ41" s="361"/>
      <c r="CK41" s="361"/>
      <c r="CL41" s="361"/>
      <c r="CM41" s="361"/>
      <c r="CN41" s="361"/>
      <c r="CO41" s="361"/>
      <c r="CP41" s="361"/>
      <c r="CQ41" s="361"/>
      <c r="CR41" s="361"/>
      <c r="CS41" s="361"/>
      <c r="CT41" s="361"/>
      <c r="CU41" s="361"/>
      <c r="CV41" s="361"/>
      <c r="CW41" s="361"/>
      <c r="CX41" s="361"/>
      <c r="CY41" s="361"/>
      <c r="CZ41" s="361"/>
      <c r="DA41" s="361"/>
      <c r="DB41" s="361"/>
      <c r="DC41" s="361"/>
      <c r="DD41" s="361"/>
      <c r="DE41" s="361"/>
      <c r="DF41" s="361"/>
      <c r="DG41" s="361"/>
      <c r="DH41" s="361"/>
      <c r="DI41" s="361"/>
      <c r="DJ41" s="361"/>
      <c r="DK41" s="361"/>
      <c r="DL41" s="361"/>
      <c r="DM41" s="361"/>
      <c r="DN41" s="361"/>
      <c r="DO41" s="361"/>
      <c r="DP41" s="361"/>
      <c r="DQ41" s="361"/>
      <c r="DR41" s="361"/>
      <c r="DS41" s="361"/>
      <c r="DT41" s="361"/>
      <c r="DU41" s="361"/>
      <c r="DV41" s="361"/>
      <c r="DW41" s="361"/>
      <c r="DX41" s="361"/>
      <c r="DY41" s="361"/>
      <c r="DZ41" s="361"/>
      <c r="EA41" s="361"/>
      <c r="EB41" s="361"/>
      <c r="EC41" s="361"/>
      <c r="ED41" s="361"/>
      <c r="EE41" s="361"/>
      <c r="EF41" s="361"/>
      <c r="EG41" s="361"/>
      <c r="EH41" s="361"/>
      <c r="EI41" s="361"/>
      <c r="EJ41" s="361"/>
      <c r="EK41" s="361"/>
      <c r="EL41" s="361"/>
      <c r="EM41" s="361"/>
      <c r="EN41" s="361"/>
      <c r="EO41" s="361"/>
      <c r="EP41" s="361"/>
      <c r="EQ41" s="361"/>
      <c r="ER41" s="361"/>
      <c r="ES41" s="361"/>
      <c r="ET41" s="361"/>
      <c r="EU41" s="361"/>
      <c r="EV41" s="361"/>
      <c r="EW41" s="361"/>
      <c r="EX41" s="361"/>
      <c r="EY41" s="361"/>
      <c r="EZ41" s="361"/>
      <c r="FA41" s="361"/>
      <c r="FB41" s="361"/>
      <c r="FC41" s="361"/>
      <c r="FD41" s="361"/>
      <c r="FE41" s="361"/>
      <c r="FF41" s="361"/>
      <c r="FG41" s="361"/>
      <c r="FH41" s="361"/>
      <c r="FI41" s="361"/>
      <c r="FJ41" s="361"/>
      <c r="FK41" s="361"/>
      <c r="FL41" s="361"/>
      <c r="FM41" s="361"/>
      <c r="FN41" s="361"/>
      <c r="FO41" s="361"/>
      <c r="FP41" s="361"/>
      <c r="FQ41" s="361"/>
      <c r="FR41" s="361"/>
      <c r="FS41" s="361"/>
      <c r="FT41" s="361"/>
      <c r="FU41" s="361"/>
      <c r="FV41" s="361"/>
      <c r="FW41" s="361"/>
      <c r="FX41" s="361"/>
      <c r="FY41" s="361"/>
      <c r="FZ41" s="361"/>
      <c r="GA41" s="361"/>
      <c r="GB41" s="361"/>
      <c r="GC41" s="361"/>
      <c r="GD41" s="361"/>
      <c r="GE41" s="361"/>
      <c r="GF41" s="361"/>
      <c r="GG41" s="361"/>
      <c r="GH41" s="361"/>
      <c r="GI41" s="361"/>
      <c r="GJ41" s="361"/>
      <c r="GK41" s="361"/>
      <c r="GL41" s="361"/>
      <c r="GM41" s="361"/>
      <c r="GN41" s="361"/>
      <c r="GO41" s="361"/>
      <c r="GP41" s="361"/>
      <c r="GQ41" s="361"/>
      <c r="GR41" s="361"/>
      <c r="GS41" s="361"/>
      <c r="GT41" s="361"/>
      <c r="GU41" s="361"/>
      <c r="GV41" s="361"/>
      <c r="GW41" s="361"/>
      <c r="GX41" s="361"/>
      <c r="GY41" s="361"/>
      <c r="GZ41" s="361"/>
      <c r="HA41" s="361"/>
      <c r="HB41" s="361"/>
      <c r="HC41" s="361"/>
      <c r="HD41" s="361"/>
      <c r="HE41" s="361"/>
      <c r="HF41" s="361"/>
      <c r="HG41" s="361"/>
      <c r="HH41" s="361"/>
      <c r="HI41" s="361"/>
      <c r="HJ41" s="361"/>
      <c r="HK41" s="361"/>
      <c r="HL41" s="361"/>
      <c r="HM41" s="361"/>
      <c r="HN41" s="361"/>
      <c r="HO41" s="361"/>
      <c r="HP41" s="361"/>
      <c r="HQ41" s="361"/>
      <c r="HR41" s="361"/>
      <c r="HS41" s="361"/>
      <c r="HT41" s="361"/>
      <c r="HU41" s="361"/>
      <c r="HV41" s="361"/>
      <c r="HW41" s="361"/>
      <c r="HX41" s="361"/>
      <c r="HY41" s="361"/>
      <c r="HZ41" s="361"/>
      <c r="IA41" s="361"/>
      <c r="IB41" s="361"/>
      <c r="IC41" s="361"/>
      <c r="ID41" s="361"/>
      <c r="IE41" s="361"/>
      <c r="IF41" s="361"/>
      <c r="IG41" s="361"/>
      <c r="IH41" s="361"/>
      <c r="II41" s="361"/>
      <c r="IJ41" s="361"/>
      <c r="IK41" s="361"/>
      <c r="IL41" s="361"/>
      <c r="IM41" s="361"/>
      <c r="IN41" s="361"/>
      <c r="IO41" s="361"/>
      <c r="IP41" s="361"/>
      <c r="IQ41" s="361"/>
      <c r="IR41" s="361"/>
      <c r="IS41" s="361"/>
      <c r="IT41" s="361"/>
      <c r="IU41" s="361"/>
      <c r="IV41" s="361"/>
      <c r="IW41" s="361"/>
      <c r="IX41" s="361"/>
      <c r="IY41" s="346" t="s">
        <v>130</v>
      </c>
      <c r="IZ41" s="346"/>
      <c r="JA41" s="346"/>
      <c r="JB41" s="346"/>
      <c r="JC41" s="346"/>
      <c r="JD41" s="346"/>
      <c r="JE41" s="361"/>
    </row>
    <row r="42" spans="1:265" s="175" customFormat="1" ht="19.95" customHeight="1">
      <c r="A42" s="453"/>
      <c r="B42" s="827"/>
      <c r="C42" s="328" t="s">
        <v>68</v>
      </c>
      <c r="D42" s="336"/>
      <c r="E42" s="454">
        <f>COUNTIFS(Table1351452010[[#All],[Sales]],"คุณศศินาถ จุ้ยอยู่ทอง",Table1351452010[[#All],[Total 
คอมฯค่าเชื่อมสัญญาณ
(3)]],"&gt;1")</f>
        <v>0</v>
      </c>
      <c r="F42" s="455">
        <f>SUMIF(Table1351452010[[#All],[Sales]],"คุณศศินาถ จุ้ยอยู่ทอง",Table1351452010[[#All],[Total 
คอมฯค่าเชื่อมสัญญาณ
(3)]])</f>
        <v>0</v>
      </c>
      <c r="G42" s="434">
        <v>0</v>
      </c>
      <c r="H42" s="436">
        <f t="shared" si="3"/>
        <v>0</v>
      </c>
      <c r="I42" s="359"/>
      <c r="J42" s="359"/>
      <c r="K42" s="359"/>
      <c r="L42" s="359"/>
      <c r="M42" s="360"/>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1"/>
      <c r="AM42" s="361"/>
      <c r="AN42" s="361"/>
      <c r="AO42" s="361"/>
      <c r="AP42" s="361"/>
      <c r="AQ42" s="361"/>
      <c r="AR42" s="361"/>
      <c r="AS42" s="361"/>
      <c r="AT42" s="361"/>
      <c r="AU42" s="361"/>
      <c r="AV42" s="361"/>
      <c r="AW42" s="361"/>
      <c r="AX42" s="361"/>
      <c r="AY42" s="361"/>
      <c r="AZ42" s="361"/>
      <c r="BA42" s="361"/>
      <c r="BB42" s="361"/>
      <c r="BC42" s="361"/>
      <c r="BD42" s="361"/>
      <c r="BE42" s="361"/>
      <c r="BF42" s="361"/>
      <c r="BG42" s="361"/>
      <c r="BH42" s="361"/>
      <c r="BI42" s="361"/>
      <c r="BJ42" s="361"/>
      <c r="BK42" s="361"/>
      <c r="BL42" s="361"/>
      <c r="BM42" s="361"/>
      <c r="BN42" s="361"/>
      <c r="BO42" s="361"/>
      <c r="BP42" s="361"/>
      <c r="BQ42" s="361"/>
      <c r="BR42" s="361"/>
      <c r="BS42" s="361"/>
      <c r="BT42" s="361"/>
      <c r="BU42" s="361"/>
      <c r="BV42" s="361"/>
      <c r="BW42" s="361"/>
      <c r="BX42" s="361"/>
      <c r="BY42" s="361"/>
      <c r="BZ42" s="361"/>
      <c r="CA42" s="361"/>
      <c r="CB42" s="361"/>
      <c r="CC42" s="361"/>
      <c r="CD42" s="361"/>
      <c r="CE42" s="361"/>
      <c r="CF42" s="361"/>
      <c r="CG42" s="361"/>
      <c r="CH42" s="361"/>
      <c r="CI42" s="361"/>
      <c r="CJ42" s="361"/>
      <c r="CK42" s="361"/>
      <c r="CL42" s="361"/>
      <c r="CM42" s="361"/>
      <c r="CN42" s="361"/>
      <c r="CO42" s="361"/>
      <c r="CP42" s="361"/>
      <c r="CQ42" s="361"/>
      <c r="CR42" s="361"/>
      <c r="CS42" s="361"/>
      <c r="CT42" s="361"/>
      <c r="CU42" s="361"/>
      <c r="CV42" s="361"/>
      <c r="CW42" s="361"/>
      <c r="CX42" s="361"/>
      <c r="CY42" s="361"/>
      <c r="CZ42" s="361"/>
      <c r="DA42" s="361"/>
      <c r="DB42" s="361"/>
      <c r="DC42" s="361"/>
      <c r="DD42" s="361"/>
      <c r="DE42" s="361"/>
      <c r="DF42" s="361"/>
      <c r="DG42" s="361"/>
      <c r="DH42" s="361"/>
      <c r="DI42" s="361"/>
      <c r="DJ42" s="361"/>
      <c r="DK42" s="361"/>
      <c r="DL42" s="361"/>
      <c r="DM42" s="361"/>
      <c r="DN42" s="361"/>
      <c r="DO42" s="361"/>
      <c r="DP42" s="361"/>
      <c r="DQ42" s="361"/>
      <c r="DR42" s="361"/>
      <c r="DS42" s="361"/>
      <c r="DT42" s="361"/>
      <c r="DU42" s="361"/>
      <c r="DV42" s="361"/>
      <c r="DW42" s="361"/>
      <c r="DX42" s="361"/>
      <c r="DY42" s="361"/>
      <c r="DZ42" s="361"/>
      <c r="EA42" s="361"/>
      <c r="EB42" s="361"/>
      <c r="EC42" s="361"/>
      <c r="ED42" s="361"/>
      <c r="EE42" s="361"/>
      <c r="EF42" s="361"/>
      <c r="EG42" s="361"/>
      <c r="EH42" s="361"/>
      <c r="EI42" s="361"/>
      <c r="EJ42" s="361"/>
      <c r="EK42" s="361"/>
      <c r="EL42" s="361"/>
      <c r="EM42" s="361"/>
      <c r="EN42" s="361"/>
      <c r="EO42" s="361"/>
      <c r="EP42" s="361"/>
      <c r="EQ42" s="361"/>
      <c r="ER42" s="361"/>
      <c r="ES42" s="361"/>
      <c r="ET42" s="361"/>
      <c r="EU42" s="361"/>
      <c r="EV42" s="361"/>
      <c r="EW42" s="361"/>
      <c r="EX42" s="361"/>
      <c r="EY42" s="361"/>
      <c r="EZ42" s="361"/>
      <c r="FA42" s="361"/>
      <c r="FB42" s="361"/>
      <c r="FC42" s="361"/>
      <c r="FD42" s="361"/>
      <c r="FE42" s="361"/>
      <c r="FF42" s="361"/>
      <c r="FG42" s="361"/>
      <c r="FH42" s="361"/>
      <c r="FI42" s="361"/>
      <c r="FJ42" s="361"/>
      <c r="FK42" s="361"/>
      <c r="FL42" s="361"/>
      <c r="FM42" s="361"/>
      <c r="FN42" s="361"/>
      <c r="FO42" s="361"/>
      <c r="FP42" s="361"/>
      <c r="FQ42" s="361"/>
      <c r="FR42" s="361"/>
      <c r="FS42" s="361"/>
      <c r="FT42" s="361"/>
      <c r="FU42" s="361"/>
      <c r="FV42" s="361"/>
      <c r="FW42" s="361"/>
      <c r="FX42" s="361"/>
      <c r="FY42" s="361"/>
      <c r="FZ42" s="361"/>
      <c r="GA42" s="361"/>
      <c r="GB42" s="361"/>
      <c r="GC42" s="361"/>
      <c r="GD42" s="361"/>
      <c r="GE42" s="361"/>
      <c r="GF42" s="361"/>
      <c r="GG42" s="361"/>
      <c r="GH42" s="361"/>
      <c r="GI42" s="361"/>
      <c r="GJ42" s="361"/>
      <c r="GK42" s="361"/>
      <c r="GL42" s="361"/>
      <c r="GM42" s="361"/>
      <c r="GN42" s="361"/>
      <c r="GO42" s="361"/>
      <c r="GP42" s="361"/>
      <c r="GQ42" s="361"/>
      <c r="GR42" s="361"/>
      <c r="GS42" s="361"/>
      <c r="GT42" s="361"/>
      <c r="GU42" s="361"/>
      <c r="GV42" s="361"/>
      <c r="GW42" s="361"/>
      <c r="GX42" s="361"/>
      <c r="GY42" s="361"/>
      <c r="GZ42" s="361"/>
      <c r="HA42" s="361"/>
      <c r="HB42" s="361"/>
      <c r="HC42" s="361"/>
      <c r="HD42" s="361"/>
      <c r="HE42" s="361"/>
      <c r="HF42" s="361"/>
      <c r="HG42" s="361"/>
      <c r="HH42" s="361"/>
      <c r="HI42" s="361"/>
      <c r="HJ42" s="361"/>
      <c r="HK42" s="361"/>
      <c r="HL42" s="361"/>
      <c r="HM42" s="361"/>
      <c r="HN42" s="361"/>
      <c r="HO42" s="361"/>
      <c r="HP42" s="361"/>
      <c r="HQ42" s="361"/>
      <c r="HR42" s="361"/>
      <c r="HS42" s="361"/>
      <c r="HT42" s="361"/>
      <c r="HU42" s="361"/>
      <c r="HV42" s="361"/>
      <c r="HW42" s="361"/>
      <c r="HX42" s="361"/>
      <c r="HY42" s="361"/>
      <c r="HZ42" s="361"/>
      <c r="IA42" s="361"/>
      <c r="IB42" s="361"/>
      <c r="IC42" s="361"/>
      <c r="ID42" s="361"/>
      <c r="IE42" s="361"/>
      <c r="IF42" s="361"/>
      <c r="IG42" s="361"/>
      <c r="IH42" s="361"/>
      <c r="II42" s="361"/>
      <c r="IJ42" s="361"/>
      <c r="IK42" s="361"/>
      <c r="IL42" s="361"/>
      <c r="IM42" s="361"/>
      <c r="IN42" s="361"/>
      <c r="IO42" s="361"/>
      <c r="IP42" s="361"/>
      <c r="IQ42" s="361"/>
      <c r="IR42" s="361"/>
      <c r="IS42" s="361"/>
      <c r="IT42" s="361"/>
      <c r="IU42" s="361"/>
      <c r="IV42" s="361"/>
      <c r="IW42" s="361"/>
      <c r="IX42" s="361"/>
      <c r="IY42" s="346" t="s">
        <v>153</v>
      </c>
      <c r="IZ42" s="346"/>
      <c r="JA42" s="346"/>
      <c r="JB42" s="346"/>
      <c r="JC42" s="346"/>
      <c r="JD42" s="346"/>
      <c r="JE42" s="361"/>
    </row>
    <row r="43" spans="1:265" s="175" customFormat="1" ht="19.95" customHeight="1">
      <c r="A43" s="453"/>
      <c r="B43" s="335"/>
      <c r="C43" s="328" t="s">
        <v>67</v>
      </c>
      <c r="D43" s="336"/>
      <c r="E43" s="454">
        <f>COUNTIFS(Table1351452010[[#All],[Sales]],"คุณรุ่งอรุณ อินบุญรอด",Table1351452010[[#All],[Total 
คอมฯค่าเชื่อมสัญญาณ
(3)]],"&gt;1")</f>
        <v>0</v>
      </c>
      <c r="F43" s="455">
        <f>SUMIF(Table1351452010[[#All],[Sales]],"คุณรุ่งอรุณ อินบุญรอด",Table1351452010[[#All],[Total 
คอมฯค่าเชื่อมสัญญาณ
(3)]])</f>
        <v>0</v>
      </c>
      <c r="G43" s="434">
        <v>0</v>
      </c>
      <c r="H43" s="436">
        <f t="shared" si="3"/>
        <v>0</v>
      </c>
      <c r="I43" s="359"/>
      <c r="J43" s="359"/>
      <c r="K43" s="359"/>
      <c r="L43" s="359"/>
      <c r="M43" s="360"/>
      <c r="N43" s="361"/>
      <c r="O43" s="361"/>
      <c r="P43" s="361"/>
      <c r="Q43" s="361"/>
      <c r="R43" s="361"/>
      <c r="S43" s="361"/>
      <c r="T43" s="361"/>
      <c r="U43" s="361"/>
      <c r="V43" s="361"/>
      <c r="W43" s="361"/>
      <c r="X43" s="361"/>
      <c r="Y43" s="361"/>
      <c r="Z43" s="361"/>
      <c r="AA43" s="361"/>
      <c r="AB43" s="361"/>
      <c r="AC43" s="361"/>
      <c r="AD43" s="361"/>
      <c r="AE43" s="361"/>
      <c r="AF43" s="361"/>
      <c r="AG43" s="361"/>
      <c r="AH43" s="361"/>
      <c r="AI43" s="361"/>
      <c r="AJ43" s="361"/>
      <c r="AK43" s="361"/>
      <c r="AL43" s="361"/>
      <c r="AM43" s="361"/>
      <c r="AN43" s="361"/>
      <c r="AO43" s="361"/>
      <c r="AP43" s="361"/>
      <c r="AQ43" s="361"/>
      <c r="AR43" s="361"/>
      <c r="AS43" s="361"/>
      <c r="AT43" s="361"/>
      <c r="AU43" s="361"/>
      <c r="AV43" s="361"/>
      <c r="AW43" s="361"/>
      <c r="AX43" s="361"/>
      <c r="AY43" s="361"/>
      <c r="AZ43" s="361"/>
      <c r="BA43" s="361"/>
      <c r="BB43" s="361"/>
      <c r="BC43" s="361"/>
      <c r="BD43" s="361"/>
      <c r="BE43" s="361"/>
      <c r="BF43" s="361"/>
      <c r="BG43" s="361"/>
      <c r="BH43" s="361"/>
      <c r="BI43" s="361"/>
      <c r="BJ43" s="361"/>
      <c r="BK43" s="361"/>
      <c r="BL43" s="361"/>
      <c r="BM43" s="361"/>
      <c r="BN43" s="361"/>
      <c r="BO43" s="361"/>
      <c r="BP43" s="361"/>
      <c r="BQ43" s="361"/>
      <c r="BR43" s="361"/>
      <c r="BS43" s="361"/>
      <c r="BT43" s="361"/>
      <c r="BU43" s="361"/>
      <c r="BV43" s="361"/>
      <c r="BW43" s="361"/>
      <c r="BX43" s="361"/>
      <c r="BY43" s="361"/>
      <c r="BZ43" s="361"/>
      <c r="CA43" s="361"/>
      <c r="CB43" s="361"/>
      <c r="CC43" s="361"/>
      <c r="CD43" s="361"/>
      <c r="CE43" s="361"/>
      <c r="CF43" s="361"/>
      <c r="CG43" s="361"/>
      <c r="CH43" s="361"/>
      <c r="CI43" s="361"/>
      <c r="CJ43" s="361"/>
      <c r="CK43" s="361"/>
      <c r="CL43" s="361"/>
      <c r="CM43" s="361"/>
      <c r="CN43" s="361"/>
      <c r="CO43" s="361"/>
      <c r="CP43" s="361"/>
      <c r="CQ43" s="361"/>
      <c r="CR43" s="361"/>
      <c r="CS43" s="361"/>
      <c r="CT43" s="361"/>
      <c r="CU43" s="361"/>
      <c r="CV43" s="361"/>
      <c r="CW43" s="361"/>
      <c r="CX43" s="361"/>
      <c r="CY43" s="361"/>
      <c r="CZ43" s="361"/>
      <c r="DA43" s="361"/>
      <c r="DB43" s="361"/>
      <c r="DC43" s="361"/>
      <c r="DD43" s="361"/>
      <c r="DE43" s="361"/>
      <c r="DF43" s="361"/>
      <c r="DG43" s="361"/>
      <c r="DH43" s="361"/>
      <c r="DI43" s="361"/>
      <c r="DJ43" s="361"/>
      <c r="DK43" s="361"/>
      <c r="DL43" s="361"/>
      <c r="DM43" s="361"/>
      <c r="DN43" s="361"/>
      <c r="DO43" s="361"/>
      <c r="DP43" s="361"/>
      <c r="DQ43" s="361"/>
      <c r="DR43" s="361"/>
      <c r="DS43" s="361"/>
      <c r="DT43" s="361"/>
      <c r="DU43" s="361"/>
      <c r="DV43" s="361"/>
      <c r="DW43" s="361"/>
      <c r="DX43" s="361"/>
      <c r="DY43" s="361"/>
      <c r="DZ43" s="361"/>
      <c r="EA43" s="361"/>
      <c r="EB43" s="361"/>
      <c r="EC43" s="361"/>
      <c r="ED43" s="361"/>
      <c r="EE43" s="361"/>
      <c r="EF43" s="361"/>
      <c r="EG43" s="361"/>
      <c r="EH43" s="361"/>
      <c r="EI43" s="361"/>
      <c r="EJ43" s="361"/>
      <c r="EK43" s="361"/>
      <c r="EL43" s="361"/>
      <c r="EM43" s="361"/>
      <c r="EN43" s="361"/>
      <c r="EO43" s="361"/>
      <c r="EP43" s="361"/>
      <c r="EQ43" s="361"/>
      <c r="ER43" s="361"/>
      <c r="ES43" s="361"/>
      <c r="ET43" s="361"/>
      <c r="EU43" s="361"/>
      <c r="EV43" s="361"/>
      <c r="EW43" s="361"/>
      <c r="EX43" s="361"/>
      <c r="EY43" s="361"/>
      <c r="EZ43" s="361"/>
      <c r="FA43" s="361"/>
      <c r="FB43" s="361"/>
      <c r="FC43" s="361"/>
      <c r="FD43" s="361"/>
      <c r="FE43" s="361"/>
      <c r="FF43" s="361"/>
      <c r="FG43" s="361"/>
      <c r="FH43" s="361"/>
      <c r="FI43" s="361"/>
      <c r="FJ43" s="361"/>
      <c r="FK43" s="361"/>
      <c r="FL43" s="361"/>
      <c r="FM43" s="361"/>
      <c r="FN43" s="361"/>
      <c r="FO43" s="361"/>
      <c r="FP43" s="361"/>
      <c r="FQ43" s="361"/>
      <c r="FR43" s="361"/>
      <c r="FS43" s="361"/>
      <c r="FT43" s="361"/>
      <c r="FU43" s="361"/>
      <c r="FV43" s="361"/>
      <c r="FW43" s="361"/>
      <c r="FX43" s="361"/>
      <c r="FY43" s="361"/>
      <c r="FZ43" s="361"/>
      <c r="GA43" s="361"/>
      <c r="GB43" s="361"/>
      <c r="GC43" s="361"/>
      <c r="GD43" s="361"/>
      <c r="GE43" s="361"/>
      <c r="GF43" s="361"/>
      <c r="GG43" s="361"/>
      <c r="GH43" s="361"/>
      <c r="GI43" s="361"/>
      <c r="GJ43" s="361"/>
      <c r="GK43" s="361"/>
      <c r="GL43" s="361"/>
      <c r="GM43" s="361"/>
      <c r="GN43" s="361"/>
      <c r="GO43" s="361"/>
      <c r="GP43" s="361"/>
      <c r="GQ43" s="361"/>
      <c r="GR43" s="361"/>
      <c r="GS43" s="361"/>
      <c r="GT43" s="361"/>
      <c r="GU43" s="361"/>
      <c r="GV43" s="361"/>
      <c r="GW43" s="361"/>
      <c r="GX43" s="361"/>
      <c r="GY43" s="361"/>
      <c r="GZ43" s="361"/>
      <c r="HA43" s="361"/>
      <c r="HB43" s="361"/>
      <c r="HC43" s="361"/>
      <c r="HD43" s="361"/>
      <c r="HE43" s="361"/>
      <c r="HF43" s="361"/>
      <c r="HG43" s="361"/>
      <c r="HH43" s="361"/>
      <c r="HI43" s="361"/>
      <c r="HJ43" s="361"/>
      <c r="HK43" s="361"/>
      <c r="HL43" s="361"/>
      <c r="HM43" s="361"/>
      <c r="HN43" s="361"/>
      <c r="HO43" s="361"/>
      <c r="HP43" s="361"/>
      <c r="HQ43" s="361"/>
      <c r="HR43" s="361"/>
      <c r="HS43" s="361"/>
      <c r="HT43" s="361"/>
      <c r="HU43" s="361"/>
      <c r="HV43" s="361"/>
      <c r="HW43" s="361"/>
      <c r="HX43" s="361"/>
      <c r="HY43" s="361"/>
      <c r="HZ43" s="361"/>
      <c r="IA43" s="361"/>
      <c r="IB43" s="361"/>
      <c r="IC43" s="361"/>
      <c r="ID43" s="361"/>
      <c r="IE43" s="361"/>
      <c r="IF43" s="361"/>
      <c r="IG43" s="361"/>
      <c r="IH43" s="361"/>
      <c r="II43" s="361"/>
      <c r="IJ43" s="361"/>
      <c r="IK43" s="361"/>
      <c r="IL43" s="361"/>
      <c r="IM43" s="361"/>
      <c r="IN43" s="361"/>
      <c r="IO43" s="361"/>
      <c r="IP43" s="361"/>
      <c r="IQ43" s="361"/>
      <c r="IR43" s="361"/>
      <c r="IS43" s="361"/>
      <c r="IT43" s="361"/>
      <c r="IU43" s="361"/>
      <c r="IV43" s="361"/>
      <c r="IW43" s="361"/>
      <c r="IX43" s="361"/>
      <c r="IY43" s="346" t="s">
        <v>72</v>
      </c>
      <c r="IZ43" s="346"/>
      <c r="JA43" s="346"/>
      <c r="JB43" s="346"/>
      <c r="JC43" s="346"/>
      <c r="JD43" s="346"/>
      <c r="JE43" s="361"/>
    </row>
    <row r="44" spans="1:265" s="175" customFormat="1" ht="19.95" customHeight="1">
      <c r="A44" s="453"/>
      <c r="B44" s="335"/>
      <c r="C44" s="328" t="s">
        <v>69</v>
      </c>
      <c r="D44" s="336"/>
      <c r="E44" s="454">
        <f>COUNTIFS(Table1351452010[[#All],[Sales]],"คุณธัญลักษณ์ หมื่นหลุบกุง",Table1351452010[[#All],[Total 
คอมฯค่าเชื่อมสัญญาณ
(3)]],"&gt;1")</f>
        <v>0</v>
      </c>
      <c r="F44" s="455">
        <f>SUMIF(Table1351452010[[#All],[Sales]],"คุณธัญลักษณ์ หมื่นหลุบกุง",Table1351452010[[#All],[Total 
คอมฯค่าเชื่อมสัญญาณ
(3)]])</f>
        <v>0</v>
      </c>
      <c r="G44" s="434">
        <v>0</v>
      </c>
      <c r="H44" s="436">
        <f t="shared" si="3"/>
        <v>0</v>
      </c>
      <c r="I44" s="359"/>
      <c r="J44" s="359"/>
      <c r="K44" s="359"/>
      <c r="L44" s="359"/>
      <c r="M44" s="360"/>
      <c r="N44" s="361"/>
      <c r="O44" s="361"/>
      <c r="P44" s="361"/>
      <c r="Q44" s="361"/>
      <c r="R44" s="361"/>
      <c r="S44" s="361"/>
      <c r="T44" s="361"/>
      <c r="U44" s="361"/>
      <c r="V44" s="361"/>
      <c r="W44" s="361"/>
      <c r="X44" s="361"/>
      <c r="Y44" s="361"/>
      <c r="Z44" s="361"/>
      <c r="AA44" s="361"/>
      <c r="AB44" s="361"/>
      <c r="AC44" s="361"/>
      <c r="AD44" s="361"/>
      <c r="AE44" s="361"/>
      <c r="AF44" s="361"/>
      <c r="AG44" s="361"/>
      <c r="AH44" s="361"/>
      <c r="AI44" s="361"/>
      <c r="AJ44" s="361"/>
      <c r="AK44" s="361"/>
      <c r="AL44" s="361"/>
      <c r="AM44" s="361"/>
      <c r="AN44" s="361"/>
      <c r="AO44" s="361"/>
      <c r="AP44" s="361"/>
      <c r="AQ44" s="361"/>
      <c r="AR44" s="361"/>
      <c r="AS44" s="361"/>
      <c r="AT44" s="361"/>
      <c r="AU44" s="361"/>
      <c r="AV44" s="361"/>
      <c r="AW44" s="361"/>
      <c r="AX44" s="361"/>
      <c r="AY44" s="361"/>
      <c r="AZ44" s="361"/>
      <c r="BA44" s="361"/>
      <c r="BB44" s="361"/>
      <c r="BC44" s="361"/>
      <c r="BD44" s="361"/>
      <c r="BE44" s="361"/>
      <c r="BF44" s="361"/>
      <c r="BG44" s="361"/>
      <c r="BH44" s="361"/>
      <c r="BI44" s="361"/>
      <c r="BJ44" s="361"/>
      <c r="BK44" s="361"/>
      <c r="BL44" s="361"/>
      <c r="BM44" s="361"/>
      <c r="BN44" s="361"/>
      <c r="BO44" s="361"/>
      <c r="BP44" s="361"/>
      <c r="BQ44" s="361"/>
      <c r="BR44" s="361"/>
      <c r="BS44" s="361"/>
      <c r="BT44" s="361"/>
      <c r="BU44" s="361"/>
      <c r="BV44" s="361"/>
      <c r="BW44" s="361"/>
      <c r="BX44" s="361"/>
      <c r="BY44" s="361"/>
      <c r="BZ44" s="361"/>
      <c r="CA44" s="361"/>
      <c r="CB44" s="361"/>
      <c r="CC44" s="361"/>
      <c r="CD44" s="361"/>
      <c r="CE44" s="361"/>
      <c r="CF44" s="361"/>
      <c r="CG44" s="361"/>
      <c r="CH44" s="361"/>
      <c r="CI44" s="361"/>
      <c r="CJ44" s="361"/>
      <c r="CK44" s="361"/>
      <c r="CL44" s="361"/>
      <c r="CM44" s="361"/>
      <c r="CN44" s="361"/>
      <c r="CO44" s="361"/>
      <c r="CP44" s="361"/>
      <c r="CQ44" s="361"/>
      <c r="CR44" s="361"/>
      <c r="CS44" s="361"/>
      <c r="CT44" s="361"/>
      <c r="CU44" s="361"/>
      <c r="CV44" s="361"/>
      <c r="CW44" s="361"/>
      <c r="CX44" s="361"/>
      <c r="CY44" s="361"/>
      <c r="CZ44" s="361"/>
      <c r="DA44" s="361"/>
      <c r="DB44" s="361"/>
      <c r="DC44" s="361"/>
      <c r="DD44" s="361"/>
      <c r="DE44" s="361"/>
      <c r="DF44" s="361"/>
      <c r="DG44" s="361"/>
      <c r="DH44" s="361"/>
      <c r="DI44" s="361"/>
      <c r="DJ44" s="361"/>
      <c r="DK44" s="361"/>
      <c r="DL44" s="361"/>
      <c r="DM44" s="361"/>
      <c r="DN44" s="361"/>
      <c r="DO44" s="361"/>
      <c r="DP44" s="361"/>
      <c r="DQ44" s="361"/>
      <c r="DR44" s="361"/>
      <c r="DS44" s="361"/>
      <c r="DT44" s="361"/>
      <c r="DU44" s="361"/>
      <c r="DV44" s="361"/>
      <c r="DW44" s="361"/>
      <c r="DX44" s="361"/>
      <c r="DY44" s="361"/>
      <c r="DZ44" s="361"/>
      <c r="EA44" s="361"/>
      <c r="EB44" s="361"/>
      <c r="EC44" s="361"/>
      <c r="ED44" s="361"/>
      <c r="EE44" s="361"/>
      <c r="EF44" s="361"/>
      <c r="EG44" s="361"/>
      <c r="EH44" s="361"/>
      <c r="EI44" s="361"/>
      <c r="EJ44" s="361"/>
      <c r="EK44" s="361"/>
      <c r="EL44" s="361"/>
      <c r="EM44" s="361"/>
      <c r="EN44" s="361"/>
      <c r="EO44" s="361"/>
      <c r="EP44" s="361"/>
      <c r="EQ44" s="361"/>
      <c r="ER44" s="361"/>
      <c r="ES44" s="361"/>
      <c r="ET44" s="361"/>
      <c r="EU44" s="361"/>
      <c r="EV44" s="361"/>
      <c r="EW44" s="361"/>
      <c r="EX44" s="361"/>
      <c r="EY44" s="361"/>
      <c r="EZ44" s="361"/>
      <c r="FA44" s="361"/>
      <c r="FB44" s="361"/>
      <c r="FC44" s="361"/>
      <c r="FD44" s="361"/>
      <c r="FE44" s="361"/>
      <c r="FF44" s="361"/>
      <c r="FG44" s="361"/>
      <c r="FH44" s="361"/>
      <c r="FI44" s="361"/>
      <c r="FJ44" s="361"/>
      <c r="FK44" s="361"/>
      <c r="FL44" s="361"/>
      <c r="FM44" s="361"/>
      <c r="FN44" s="361"/>
      <c r="FO44" s="361"/>
      <c r="FP44" s="361"/>
      <c r="FQ44" s="361"/>
      <c r="FR44" s="361"/>
      <c r="FS44" s="361"/>
      <c r="FT44" s="361"/>
      <c r="FU44" s="361"/>
      <c r="FV44" s="361"/>
      <c r="FW44" s="361"/>
      <c r="FX44" s="361"/>
      <c r="FY44" s="361"/>
      <c r="FZ44" s="361"/>
      <c r="GA44" s="361"/>
      <c r="GB44" s="361"/>
      <c r="GC44" s="361"/>
      <c r="GD44" s="361"/>
      <c r="GE44" s="361"/>
      <c r="GF44" s="361"/>
      <c r="GG44" s="361"/>
      <c r="GH44" s="361"/>
      <c r="GI44" s="361"/>
      <c r="GJ44" s="361"/>
      <c r="GK44" s="361"/>
      <c r="GL44" s="361"/>
      <c r="GM44" s="361"/>
      <c r="GN44" s="361"/>
      <c r="GO44" s="361"/>
      <c r="GP44" s="361"/>
      <c r="GQ44" s="361"/>
      <c r="GR44" s="361"/>
      <c r="GS44" s="361"/>
      <c r="GT44" s="361"/>
      <c r="GU44" s="361"/>
      <c r="GV44" s="361"/>
      <c r="GW44" s="361"/>
      <c r="GX44" s="361"/>
      <c r="GY44" s="361"/>
      <c r="GZ44" s="361"/>
      <c r="HA44" s="361"/>
      <c r="HB44" s="361"/>
      <c r="HC44" s="361"/>
      <c r="HD44" s="361"/>
      <c r="HE44" s="361"/>
      <c r="HF44" s="361"/>
      <c r="HG44" s="361"/>
      <c r="HH44" s="361"/>
      <c r="HI44" s="361"/>
      <c r="HJ44" s="361"/>
      <c r="HK44" s="361"/>
      <c r="HL44" s="361"/>
      <c r="HM44" s="361"/>
      <c r="HN44" s="361"/>
      <c r="HO44" s="361"/>
      <c r="HP44" s="361"/>
      <c r="HQ44" s="361"/>
      <c r="HR44" s="361"/>
      <c r="HS44" s="361"/>
      <c r="HT44" s="361"/>
      <c r="HU44" s="361"/>
      <c r="HV44" s="361"/>
      <c r="HW44" s="361"/>
      <c r="HX44" s="361"/>
      <c r="HY44" s="361"/>
      <c r="HZ44" s="361"/>
      <c r="IA44" s="361"/>
      <c r="IB44" s="361"/>
      <c r="IC44" s="361"/>
      <c r="ID44" s="361"/>
      <c r="IE44" s="361"/>
      <c r="IF44" s="361"/>
      <c r="IG44" s="361"/>
      <c r="IH44" s="361"/>
      <c r="II44" s="361"/>
      <c r="IJ44" s="361"/>
      <c r="IK44" s="361"/>
      <c r="IL44" s="361"/>
      <c r="IM44" s="361"/>
      <c r="IN44" s="361"/>
      <c r="IO44" s="361"/>
      <c r="IP44" s="361"/>
      <c r="IQ44" s="361"/>
      <c r="IR44" s="361"/>
      <c r="IS44" s="361"/>
      <c r="IT44" s="361"/>
      <c r="IU44" s="361"/>
      <c r="IV44" s="361"/>
      <c r="IW44" s="361"/>
      <c r="IX44" s="361"/>
      <c r="IY44" s="346" t="s">
        <v>68</v>
      </c>
      <c r="IZ44" s="346"/>
      <c r="JA44" s="346"/>
      <c r="JB44" s="346"/>
      <c r="JC44" s="346"/>
      <c r="JD44" s="346"/>
      <c r="JE44" s="361"/>
    </row>
    <row r="45" spans="1:265" s="175" customFormat="1" ht="19.95" customHeight="1">
      <c r="A45" s="453"/>
      <c r="B45" s="335"/>
      <c r="C45" s="328" t="s">
        <v>90</v>
      </c>
      <c r="D45" s="336"/>
      <c r="E45" s="454">
        <f>COUNTIFS(Table1351452010[[#All],[Sales]],"คุณณรงศ์ศักย์ เหล่ารัตนเวช",Table1351452010[[#All],[Total 
คอมฯค่าเชื่อมสัญญาณ
(3)]],"&gt;1")</f>
        <v>0</v>
      </c>
      <c r="F45" s="455">
        <f>SUMIF(Table1351452010[[#All],[Sales]],"คุณณรงศ์ศักย์ เหล่ารัตนเวช",Table1351452010[[#All],[Total 
คอมฯค่าเชื่อมสัญญาณ
(3)]])</f>
        <v>0</v>
      </c>
      <c r="G45" s="434">
        <v>0</v>
      </c>
      <c r="H45" s="436">
        <f t="shared" si="3"/>
        <v>0</v>
      </c>
      <c r="I45" s="359"/>
      <c r="J45" s="359"/>
      <c r="K45" s="359"/>
      <c r="L45" s="359"/>
      <c r="M45" s="360"/>
      <c r="N45" s="361"/>
      <c r="O45" s="361"/>
      <c r="P45" s="361"/>
      <c r="Q45" s="361"/>
      <c r="R45" s="361"/>
      <c r="S45" s="361"/>
      <c r="T45" s="361"/>
      <c r="U45" s="361"/>
      <c r="V45" s="361"/>
      <c r="W45" s="361"/>
      <c r="X45" s="361"/>
      <c r="Y45" s="361"/>
      <c r="Z45" s="361"/>
      <c r="AA45" s="361"/>
      <c r="AB45" s="361"/>
      <c r="AC45" s="361"/>
      <c r="AD45" s="361"/>
      <c r="AE45" s="361"/>
      <c r="AF45" s="361"/>
      <c r="AG45" s="361"/>
      <c r="AH45" s="361"/>
      <c r="AI45" s="361"/>
      <c r="AJ45" s="361"/>
      <c r="AK45" s="361"/>
      <c r="AL45" s="361"/>
      <c r="AM45" s="361"/>
      <c r="AN45" s="361"/>
      <c r="AO45" s="361"/>
      <c r="AP45" s="361"/>
      <c r="AQ45" s="361"/>
      <c r="AR45" s="361"/>
      <c r="AS45" s="361"/>
      <c r="AT45" s="361"/>
      <c r="AU45" s="361"/>
      <c r="AV45" s="361"/>
      <c r="AW45" s="361"/>
      <c r="AX45" s="361"/>
      <c r="AY45" s="361"/>
      <c r="AZ45" s="361"/>
      <c r="BA45" s="361"/>
      <c r="BB45" s="361"/>
      <c r="BC45" s="361"/>
      <c r="BD45" s="361"/>
      <c r="BE45" s="361"/>
      <c r="BF45" s="361"/>
      <c r="BG45" s="361"/>
      <c r="BH45" s="361"/>
      <c r="BI45" s="361"/>
      <c r="BJ45" s="361"/>
      <c r="BK45" s="361"/>
      <c r="BL45" s="361"/>
      <c r="BM45" s="361"/>
      <c r="BN45" s="361"/>
      <c r="BO45" s="361"/>
      <c r="BP45" s="361"/>
      <c r="BQ45" s="361"/>
      <c r="BR45" s="361"/>
      <c r="BS45" s="361"/>
      <c r="BT45" s="361"/>
      <c r="BU45" s="361"/>
      <c r="BV45" s="361"/>
      <c r="BW45" s="361"/>
      <c r="BX45" s="361"/>
      <c r="BY45" s="361"/>
      <c r="BZ45" s="361"/>
      <c r="CA45" s="361"/>
      <c r="CB45" s="361"/>
      <c r="CC45" s="361"/>
      <c r="CD45" s="361"/>
      <c r="CE45" s="361"/>
      <c r="CF45" s="361"/>
      <c r="CG45" s="361"/>
      <c r="CH45" s="361"/>
      <c r="CI45" s="361"/>
      <c r="CJ45" s="361"/>
      <c r="CK45" s="361"/>
      <c r="CL45" s="361"/>
      <c r="CM45" s="361"/>
      <c r="CN45" s="361"/>
      <c r="CO45" s="361"/>
      <c r="CP45" s="361"/>
      <c r="CQ45" s="361"/>
      <c r="CR45" s="361"/>
      <c r="CS45" s="361"/>
      <c r="CT45" s="361"/>
      <c r="CU45" s="361"/>
      <c r="CV45" s="361"/>
      <c r="CW45" s="361"/>
      <c r="CX45" s="361"/>
      <c r="CY45" s="361"/>
      <c r="CZ45" s="361"/>
      <c r="DA45" s="361"/>
      <c r="DB45" s="361"/>
      <c r="DC45" s="361"/>
      <c r="DD45" s="361"/>
      <c r="DE45" s="361"/>
      <c r="DF45" s="361"/>
      <c r="DG45" s="361"/>
      <c r="DH45" s="361"/>
      <c r="DI45" s="361"/>
      <c r="DJ45" s="361"/>
      <c r="DK45" s="361"/>
      <c r="DL45" s="361"/>
      <c r="DM45" s="361"/>
      <c r="DN45" s="361"/>
      <c r="DO45" s="361"/>
      <c r="DP45" s="361"/>
      <c r="DQ45" s="361"/>
      <c r="DR45" s="361"/>
      <c r="DS45" s="361"/>
      <c r="DT45" s="361"/>
      <c r="DU45" s="361"/>
      <c r="DV45" s="361"/>
      <c r="DW45" s="361"/>
      <c r="DX45" s="361"/>
      <c r="DY45" s="361"/>
      <c r="DZ45" s="361"/>
      <c r="EA45" s="361"/>
      <c r="EB45" s="361"/>
      <c r="EC45" s="361"/>
      <c r="ED45" s="361"/>
      <c r="EE45" s="361"/>
      <c r="EF45" s="361"/>
      <c r="EG45" s="361"/>
      <c r="EH45" s="361"/>
      <c r="EI45" s="361"/>
      <c r="EJ45" s="361"/>
      <c r="EK45" s="361"/>
      <c r="EL45" s="361"/>
      <c r="EM45" s="361"/>
      <c r="EN45" s="361"/>
      <c r="EO45" s="361"/>
      <c r="EP45" s="361"/>
      <c r="EQ45" s="361"/>
      <c r="ER45" s="361"/>
      <c r="ES45" s="361"/>
      <c r="ET45" s="361"/>
      <c r="EU45" s="361"/>
      <c r="EV45" s="361"/>
      <c r="EW45" s="361"/>
      <c r="EX45" s="361"/>
      <c r="EY45" s="361"/>
      <c r="EZ45" s="361"/>
      <c r="FA45" s="361"/>
      <c r="FB45" s="361"/>
      <c r="FC45" s="361"/>
      <c r="FD45" s="361"/>
      <c r="FE45" s="361"/>
      <c r="FF45" s="361"/>
      <c r="FG45" s="361"/>
      <c r="FH45" s="361"/>
      <c r="FI45" s="361"/>
      <c r="FJ45" s="361"/>
      <c r="FK45" s="361"/>
      <c r="FL45" s="361"/>
      <c r="FM45" s="361"/>
      <c r="FN45" s="361"/>
      <c r="FO45" s="361"/>
      <c r="FP45" s="361"/>
      <c r="FQ45" s="361"/>
      <c r="FR45" s="361"/>
      <c r="FS45" s="361"/>
      <c r="FT45" s="361"/>
      <c r="FU45" s="361"/>
      <c r="FV45" s="361"/>
      <c r="FW45" s="361"/>
      <c r="FX45" s="361"/>
      <c r="FY45" s="361"/>
      <c r="FZ45" s="361"/>
      <c r="GA45" s="361"/>
      <c r="GB45" s="361"/>
      <c r="GC45" s="361"/>
      <c r="GD45" s="361"/>
      <c r="GE45" s="361"/>
      <c r="GF45" s="361"/>
      <c r="GG45" s="361"/>
      <c r="GH45" s="361"/>
      <c r="GI45" s="361"/>
      <c r="GJ45" s="361"/>
      <c r="GK45" s="361"/>
      <c r="GL45" s="361"/>
      <c r="GM45" s="361"/>
      <c r="GN45" s="361"/>
      <c r="GO45" s="361"/>
      <c r="GP45" s="361"/>
      <c r="GQ45" s="361"/>
      <c r="GR45" s="361"/>
      <c r="GS45" s="361"/>
      <c r="GT45" s="361"/>
      <c r="GU45" s="361"/>
      <c r="GV45" s="361"/>
      <c r="GW45" s="361"/>
      <c r="GX45" s="361"/>
      <c r="GY45" s="361"/>
      <c r="GZ45" s="361"/>
      <c r="HA45" s="361"/>
      <c r="HB45" s="361"/>
      <c r="HC45" s="361"/>
      <c r="HD45" s="361"/>
      <c r="HE45" s="361"/>
      <c r="HF45" s="361"/>
      <c r="HG45" s="361"/>
      <c r="HH45" s="361"/>
      <c r="HI45" s="361"/>
      <c r="HJ45" s="361"/>
      <c r="HK45" s="361"/>
      <c r="HL45" s="361"/>
      <c r="HM45" s="361"/>
      <c r="HN45" s="361"/>
      <c r="HO45" s="361"/>
      <c r="HP45" s="361"/>
      <c r="HQ45" s="361"/>
      <c r="HR45" s="361"/>
      <c r="HS45" s="361"/>
      <c r="HT45" s="361"/>
      <c r="HU45" s="361"/>
      <c r="HV45" s="361"/>
      <c r="HW45" s="361"/>
      <c r="HX45" s="361"/>
      <c r="HY45" s="361"/>
      <c r="HZ45" s="361"/>
      <c r="IA45" s="361"/>
      <c r="IB45" s="361"/>
      <c r="IC45" s="361"/>
      <c r="ID45" s="361"/>
      <c r="IE45" s="361"/>
      <c r="IF45" s="361"/>
      <c r="IG45" s="361"/>
      <c r="IH45" s="361"/>
      <c r="II45" s="361"/>
      <c r="IJ45" s="361"/>
      <c r="IK45" s="361"/>
      <c r="IL45" s="361"/>
      <c r="IM45" s="361"/>
      <c r="IN45" s="361"/>
      <c r="IO45" s="361"/>
      <c r="IP45" s="361"/>
      <c r="IQ45" s="361"/>
      <c r="IR45" s="361"/>
      <c r="IS45" s="361"/>
      <c r="IT45" s="361"/>
      <c r="IU45" s="361"/>
      <c r="IV45" s="361"/>
      <c r="IW45" s="361"/>
      <c r="IX45" s="361"/>
      <c r="IY45" s="346" t="s">
        <v>67</v>
      </c>
      <c r="IZ45" s="346"/>
      <c r="JA45" s="346"/>
      <c r="JB45" s="346"/>
      <c r="JC45" s="346"/>
      <c r="JD45" s="346"/>
      <c r="JE45" s="361"/>
    </row>
    <row r="46" spans="1:265" s="175" customFormat="1" ht="19.95" customHeight="1" thickBot="1">
      <c r="A46" s="456"/>
      <c r="B46" s="828"/>
      <c r="C46" s="439" t="s">
        <v>21</v>
      </c>
      <c r="D46" s="461"/>
      <c r="E46" s="459">
        <f>COUNTIFS(Table1351452010[[#All],[Sales]],"คุณจันทราภรณ์ สุภาพวนิช",Table1351452010[[#All],[Total 
คอมฯค่าเชื่อมสัญญาณ
(3)]],"&gt;1")</f>
        <v>0</v>
      </c>
      <c r="F46" s="460">
        <f>SUMIF(Table1351452010[[#All],[Sales]],"คุณจันทราภรณ์ สุภาพวนิช",Table1351452010[[#All],[Total 
คอมฯค่าเชื่อมสัญญาณ
(3)]])</f>
        <v>0</v>
      </c>
      <c r="G46" s="443">
        <v>0</v>
      </c>
      <c r="H46" s="444">
        <f t="shared" si="3"/>
        <v>0</v>
      </c>
      <c r="I46" s="360"/>
      <c r="J46" s="360"/>
      <c r="K46" s="359"/>
      <c r="L46" s="359"/>
      <c r="M46" s="360"/>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361"/>
      <c r="AK46" s="361"/>
      <c r="AL46" s="361"/>
      <c r="AM46" s="361"/>
      <c r="AN46" s="361"/>
      <c r="AO46" s="361"/>
      <c r="AP46" s="361"/>
      <c r="AQ46" s="361"/>
      <c r="AR46" s="361"/>
      <c r="AS46" s="361"/>
      <c r="AT46" s="361"/>
      <c r="AU46" s="361"/>
      <c r="AV46" s="361"/>
      <c r="AW46" s="361"/>
      <c r="AX46" s="361"/>
      <c r="AY46" s="361"/>
      <c r="AZ46" s="361"/>
      <c r="BA46" s="361"/>
      <c r="BB46" s="361"/>
      <c r="BC46" s="361"/>
      <c r="BD46" s="361"/>
      <c r="BE46" s="361"/>
      <c r="BF46" s="361"/>
      <c r="BG46" s="361"/>
      <c r="BH46" s="361"/>
      <c r="BI46" s="361"/>
      <c r="BJ46" s="361"/>
      <c r="BK46" s="361"/>
      <c r="BL46" s="361"/>
      <c r="BM46" s="361"/>
      <c r="BN46" s="361"/>
      <c r="BO46" s="361"/>
      <c r="BP46" s="361"/>
      <c r="BQ46" s="361"/>
      <c r="BR46" s="361"/>
      <c r="BS46" s="361"/>
      <c r="BT46" s="361"/>
      <c r="BU46" s="361"/>
      <c r="BV46" s="361"/>
      <c r="BW46" s="361"/>
      <c r="BX46" s="361"/>
      <c r="BY46" s="361"/>
      <c r="BZ46" s="361"/>
      <c r="CA46" s="361"/>
      <c r="CB46" s="361"/>
      <c r="CC46" s="361"/>
      <c r="CD46" s="361"/>
      <c r="CE46" s="361"/>
      <c r="CF46" s="361"/>
      <c r="CG46" s="361"/>
      <c r="CH46" s="361"/>
      <c r="CI46" s="361"/>
      <c r="CJ46" s="361"/>
      <c r="CK46" s="361"/>
      <c r="CL46" s="361"/>
      <c r="CM46" s="361"/>
      <c r="CN46" s="361"/>
      <c r="CO46" s="361"/>
      <c r="CP46" s="361"/>
      <c r="CQ46" s="361"/>
      <c r="CR46" s="361"/>
      <c r="CS46" s="361"/>
      <c r="CT46" s="361"/>
      <c r="CU46" s="361"/>
      <c r="CV46" s="361"/>
      <c r="CW46" s="361"/>
      <c r="CX46" s="361"/>
      <c r="CY46" s="361"/>
      <c r="CZ46" s="361"/>
      <c r="DA46" s="361"/>
      <c r="DB46" s="361"/>
      <c r="DC46" s="361"/>
      <c r="DD46" s="361"/>
      <c r="DE46" s="361"/>
      <c r="DF46" s="361"/>
      <c r="DG46" s="361"/>
      <c r="DH46" s="361"/>
      <c r="DI46" s="361"/>
      <c r="DJ46" s="361"/>
      <c r="DK46" s="361"/>
      <c r="DL46" s="361"/>
      <c r="DM46" s="361"/>
      <c r="DN46" s="361"/>
      <c r="DO46" s="361"/>
      <c r="DP46" s="361"/>
      <c r="DQ46" s="361"/>
      <c r="DR46" s="361"/>
      <c r="DS46" s="361"/>
      <c r="DT46" s="361"/>
      <c r="DU46" s="361"/>
      <c r="DV46" s="361"/>
      <c r="DW46" s="361"/>
      <c r="DX46" s="361"/>
      <c r="DY46" s="361"/>
      <c r="DZ46" s="361"/>
      <c r="EA46" s="361"/>
      <c r="EB46" s="361"/>
      <c r="EC46" s="361"/>
      <c r="ED46" s="361"/>
      <c r="EE46" s="361"/>
      <c r="EF46" s="361"/>
      <c r="EG46" s="361"/>
      <c r="EH46" s="361"/>
      <c r="EI46" s="361"/>
      <c r="EJ46" s="361"/>
      <c r="EK46" s="361"/>
      <c r="EL46" s="361"/>
      <c r="EM46" s="361"/>
      <c r="EN46" s="361"/>
      <c r="EO46" s="361"/>
      <c r="EP46" s="361"/>
      <c r="EQ46" s="361"/>
      <c r="ER46" s="361"/>
      <c r="ES46" s="361"/>
      <c r="ET46" s="361"/>
      <c r="EU46" s="361"/>
      <c r="EV46" s="361"/>
      <c r="EW46" s="361"/>
      <c r="EX46" s="361"/>
      <c r="EY46" s="361"/>
      <c r="EZ46" s="361"/>
      <c r="FA46" s="361"/>
      <c r="FB46" s="361"/>
      <c r="FC46" s="361"/>
      <c r="FD46" s="361"/>
      <c r="FE46" s="361"/>
      <c r="FF46" s="361"/>
      <c r="FG46" s="361"/>
      <c r="FH46" s="361"/>
      <c r="FI46" s="361"/>
      <c r="FJ46" s="361"/>
      <c r="FK46" s="361"/>
      <c r="FL46" s="361"/>
      <c r="FM46" s="361"/>
      <c r="FN46" s="361"/>
      <c r="FO46" s="361"/>
      <c r="FP46" s="361"/>
      <c r="FQ46" s="361"/>
      <c r="FR46" s="361"/>
      <c r="FS46" s="361"/>
      <c r="FT46" s="361"/>
      <c r="FU46" s="361"/>
      <c r="FV46" s="361"/>
      <c r="FW46" s="361"/>
      <c r="FX46" s="361"/>
      <c r="FY46" s="361"/>
      <c r="FZ46" s="361"/>
      <c r="GA46" s="361"/>
      <c r="GB46" s="361"/>
      <c r="GC46" s="361"/>
      <c r="GD46" s="361"/>
      <c r="GE46" s="361"/>
      <c r="GF46" s="361"/>
      <c r="GG46" s="361"/>
      <c r="GH46" s="361"/>
      <c r="GI46" s="361"/>
      <c r="GJ46" s="361"/>
      <c r="GK46" s="361"/>
      <c r="GL46" s="361"/>
      <c r="GM46" s="361"/>
      <c r="GN46" s="361"/>
      <c r="GO46" s="361"/>
      <c r="GP46" s="361"/>
      <c r="GQ46" s="361"/>
      <c r="GR46" s="361"/>
      <c r="GS46" s="361"/>
      <c r="GT46" s="361"/>
      <c r="GU46" s="361"/>
      <c r="GV46" s="361"/>
      <c r="GW46" s="361"/>
      <c r="GX46" s="361"/>
      <c r="GY46" s="361"/>
      <c r="GZ46" s="361"/>
      <c r="HA46" s="361"/>
      <c r="HB46" s="361"/>
      <c r="HC46" s="361"/>
      <c r="HD46" s="361"/>
      <c r="HE46" s="361"/>
      <c r="HF46" s="361"/>
      <c r="HG46" s="361"/>
      <c r="HH46" s="361"/>
      <c r="HI46" s="361"/>
      <c r="HJ46" s="361"/>
      <c r="HK46" s="361"/>
      <c r="HL46" s="361"/>
      <c r="HM46" s="361"/>
      <c r="HN46" s="361"/>
      <c r="HO46" s="361"/>
      <c r="HP46" s="361"/>
      <c r="HQ46" s="361"/>
      <c r="HR46" s="361"/>
      <c r="HS46" s="361"/>
      <c r="HT46" s="361"/>
      <c r="HU46" s="361"/>
      <c r="HV46" s="361"/>
      <c r="HW46" s="361"/>
      <c r="HX46" s="361"/>
      <c r="HY46" s="361"/>
      <c r="HZ46" s="361"/>
      <c r="IA46" s="361"/>
      <c r="IB46" s="361"/>
      <c r="IC46" s="361"/>
      <c r="ID46" s="361"/>
      <c r="IE46" s="361"/>
      <c r="IF46" s="361"/>
      <c r="IG46" s="361"/>
      <c r="IH46" s="361"/>
      <c r="II46" s="361"/>
      <c r="IJ46" s="361"/>
      <c r="IK46" s="361"/>
      <c r="IL46" s="361"/>
      <c r="IM46" s="361"/>
      <c r="IN46" s="361"/>
      <c r="IO46" s="361"/>
      <c r="IP46" s="361"/>
      <c r="IQ46" s="361"/>
      <c r="IR46" s="361"/>
      <c r="IS46" s="361"/>
      <c r="IT46" s="361"/>
      <c r="IU46" s="361"/>
      <c r="IV46" s="361"/>
      <c r="IW46" s="361"/>
      <c r="IX46" s="361"/>
      <c r="IY46" s="346" t="s">
        <v>69</v>
      </c>
      <c r="IZ46" s="346"/>
      <c r="JA46" s="346"/>
      <c r="JB46" s="346"/>
      <c r="JC46" s="346"/>
      <c r="JD46" s="346"/>
      <c r="JE46" s="361"/>
    </row>
    <row r="47" spans="1:265" s="175" customFormat="1" ht="21" customHeight="1" thickBot="1">
      <c r="A47" s="462"/>
      <c r="B47" s="463" t="s">
        <v>12</v>
      </c>
      <c r="C47" s="463"/>
      <c r="D47" s="463"/>
      <c r="E47" s="464">
        <f>SUM(E5:E46)</f>
        <v>7</v>
      </c>
      <c r="F47" s="465">
        <f ca="1">SUM(F5:F46)</f>
        <v>38876.58</v>
      </c>
      <c r="G47" s="465">
        <f ca="1">SUM(G5:G46)</f>
        <v>1259.2131999999999</v>
      </c>
      <c r="H47" s="466">
        <f ca="1">SUM(H5:H46)</f>
        <v>37617.366800000003</v>
      </c>
      <c r="I47" s="360"/>
      <c r="J47" s="360"/>
      <c r="K47" s="359"/>
      <c r="L47" s="359"/>
      <c r="M47" s="360"/>
      <c r="N47" s="361"/>
      <c r="O47" s="361"/>
      <c r="P47" s="361"/>
      <c r="Q47" s="361"/>
      <c r="R47" s="361"/>
      <c r="S47" s="361"/>
      <c r="T47" s="361"/>
      <c r="U47" s="361"/>
      <c r="V47" s="361"/>
      <c r="W47" s="361"/>
      <c r="X47" s="361"/>
      <c r="Y47" s="361"/>
      <c r="Z47" s="361"/>
      <c r="AA47" s="361"/>
      <c r="AB47" s="361"/>
      <c r="AC47" s="361"/>
      <c r="AD47" s="361"/>
      <c r="AE47" s="361"/>
      <c r="AF47" s="361"/>
      <c r="AG47" s="361"/>
      <c r="AH47" s="361"/>
      <c r="AI47" s="361"/>
      <c r="AJ47" s="361"/>
      <c r="AK47" s="361"/>
      <c r="AL47" s="361"/>
      <c r="AM47" s="361"/>
      <c r="AN47" s="361"/>
      <c r="AO47" s="361"/>
      <c r="AP47" s="361"/>
      <c r="AQ47" s="361"/>
      <c r="AR47" s="361"/>
      <c r="AS47" s="361"/>
      <c r="AT47" s="361"/>
      <c r="AU47" s="361"/>
      <c r="AV47" s="361"/>
      <c r="AW47" s="361"/>
      <c r="AX47" s="361"/>
      <c r="AY47" s="361"/>
      <c r="AZ47" s="361"/>
      <c r="BA47" s="361"/>
      <c r="BB47" s="361"/>
      <c r="BC47" s="361"/>
      <c r="BD47" s="361"/>
      <c r="BE47" s="361"/>
      <c r="BF47" s="361"/>
      <c r="BG47" s="361"/>
      <c r="BH47" s="361"/>
      <c r="BI47" s="361"/>
      <c r="BJ47" s="361"/>
      <c r="BK47" s="361"/>
      <c r="BL47" s="361"/>
      <c r="BM47" s="361"/>
      <c r="BN47" s="361"/>
      <c r="BO47" s="361"/>
      <c r="BP47" s="361"/>
      <c r="BQ47" s="361"/>
      <c r="BR47" s="361"/>
      <c r="BS47" s="361"/>
      <c r="BT47" s="361"/>
      <c r="BU47" s="361"/>
      <c r="BV47" s="361"/>
      <c r="BW47" s="361"/>
      <c r="BX47" s="361"/>
      <c r="BY47" s="361"/>
      <c r="BZ47" s="361"/>
      <c r="CA47" s="361"/>
      <c r="CB47" s="361"/>
      <c r="CC47" s="361"/>
      <c r="CD47" s="361"/>
      <c r="CE47" s="361"/>
      <c r="CF47" s="361"/>
      <c r="CG47" s="361"/>
      <c r="CH47" s="361"/>
      <c r="CI47" s="361"/>
      <c r="CJ47" s="361"/>
      <c r="CK47" s="361"/>
      <c r="CL47" s="361"/>
      <c r="CM47" s="361"/>
      <c r="CN47" s="361"/>
      <c r="CO47" s="361"/>
      <c r="CP47" s="361"/>
      <c r="CQ47" s="361"/>
      <c r="CR47" s="361"/>
      <c r="CS47" s="361"/>
      <c r="CT47" s="361"/>
      <c r="CU47" s="361"/>
      <c r="CV47" s="361"/>
      <c r="CW47" s="361"/>
      <c r="CX47" s="361"/>
      <c r="CY47" s="361"/>
      <c r="CZ47" s="361"/>
      <c r="DA47" s="361"/>
      <c r="DB47" s="361"/>
      <c r="DC47" s="361"/>
      <c r="DD47" s="361"/>
      <c r="DE47" s="361"/>
      <c r="DF47" s="361"/>
      <c r="DG47" s="361"/>
      <c r="DH47" s="361"/>
      <c r="DI47" s="361"/>
      <c r="DJ47" s="361"/>
      <c r="DK47" s="361"/>
      <c r="DL47" s="361"/>
      <c r="DM47" s="361"/>
      <c r="DN47" s="361"/>
      <c r="DO47" s="361"/>
      <c r="DP47" s="361"/>
      <c r="DQ47" s="361"/>
      <c r="DR47" s="361"/>
      <c r="DS47" s="361"/>
      <c r="DT47" s="361"/>
      <c r="DU47" s="361"/>
      <c r="DV47" s="361"/>
      <c r="DW47" s="361"/>
      <c r="DX47" s="361"/>
      <c r="DY47" s="361"/>
      <c r="DZ47" s="361"/>
      <c r="EA47" s="361"/>
      <c r="EB47" s="361"/>
      <c r="EC47" s="361"/>
      <c r="ED47" s="361"/>
      <c r="EE47" s="361"/>
      <c r="EF47" s="361"/>
      <c r="EG47" s="361"/>
      <c r="EH47" s="361"/>
      <c r="EI47" s="361"/>
      <c r="EJ47" s="361"/>
      <c r="EK47" s="361"/>
      <c r="EL47" s="361"/>
      <c r="EM47" s="361"/>
      <c r="EN47" s="361"/>
      <c r="EO47" s="361"/>
      <c r="EP47" s="361"/>
      <c r="EQ47" s="361"/>
      <c r="ER47" s="361"/>
      <c r="ES47" s="361"/>
      <c r="ET47" s="361"/>
      <c r="EU47" s="361"/>
      <c r="EV47" s="361"/>
      <c r="EW47" s="361"/>
      <c r="EX47" s="361"/>
      <c r="EY47" s="361"/>
      <c r="EZ47" s="361"/>
      <c r="FA47" s="361"/>
      <c r="FB47" s="361"/>
      <c r="FC47" s="361"/>
      <c r="FD47" s="361"/>
      <c r="FE47" s="361"/>
      <c r="FF47" s="361"/>
      <c r="FG47" s="361"/>
      <c r="FH47" s="361"/>
      <c r="FI47" s="361"/>
      <c r="FJ47" s="361"/>
      <c r="FK47" s="361"/>
      <c r="FL47" s="361"/>
      <c r="FM47" s="361"/>
      <c r="FN47" s="361"/>
      <c r="FO47" s="361"/>
      <c r="FP47" s="361"/>
      <c r="FQ47" s="361"/>
      <c r="FR47" s="361"/>
      <c r="FS47" s="361"/>
      <c r="FT47" s="361"/>
      <c r="FU47" s="361"/>
      <c r="FV47" s="361"/>
      <c r="FW47" s="361"/>
      <c r="FX47" s="361"/>
      <c r="FY47" s="361"/>
      <c r="FZ47" s="361"/>
      <c r="GA47" s="361"/>
      <c r="GB47" s="361"/>
      <c r="GC47" s="361"/>
      <c r="GD47" s="361"/>
      <c r="GE47" s="361"/>
      <c r="GF47" s="361"/>
      <c r="GG47" s="361"/>
      <c r="GH47" s="361"/>
      <c r="GI47" s="361"/>
      <c r="GJ47" s="361"/>
      <c r="GK47" s="361"/>
      <c r="GL47" s="361"/>
      <c r="GM47" s="361"/>
      <c r="GN47" s="361"/>
      <c r="GO47" s="361"/>
      <c r="GP47" s="361"/>
      <c r="GQ47" s="361"/>
      <c r="GR47" s="361"/>
      <c r="GS47" s="361"/>
      <c r="GT47" s="361"/>
      <c r="GU47" s="361"/>
      <c r="GV47" s="361"/>
      <c r="GW47" s="361"/>
      <c r="GX47" s="361"/>
      <c r="GY47" s="361"/>
      <c r="GZ47" s="361"/>
      <c r="HA47" s="361"/>
      <c r="HB47" s="361"/>
      <c r="HC47" s="361"/>
      <c r="HD47" s="361"/>
      <c r="HE47" s="361"/>
      <c r="HF47" s="361"/>
      <c r="HG47" s="361"/>
      <c r="HH47" s="361"/>
      <c r="HI47" s="361"/>
      <c r="HJ47" s="361"/>
      <c r="HK47" s="361"/>
      <c r="HL47" s="361"/>
      <c r="HM47" s="361"/>
      <c r="HN47" s="361"/>
      <c r="HO47" s="361"/>
      <c r="HP47" s="361"/>
      <c r="HQ47" s="361"/>
      <c r="HR47" s="361"/>
      <c r="HS47" s="361"/>
      <c r="HT47" s="361"/>
      <c r="HU47" s="361"/>
      <c r="HV47" s="361"/>
      <c r="HW47" s="361"/>
      <c r="HX47" s="361"/>
      <c r="HY47" s="361"/>
      <c r="HZ47" s="361"/>
      <c r="IA47" s="361"/>
      <c r="IB47" s="361"/>
      <c r="IC47" s="361"/>
      <c r="ID47" s="361"/>
      <c r="IE47" s="361"/>
      <c r="IF47" s="361"/>
      <c r="IG47" s="361"/>
      <c r="IH47" s="361"/>
      <c r="II47" s="361"/>
      <c r="IJ47" s="361"/>
      <c r="IK47" s="361"/>
      <c r="IL47" s="361"/>
      <c r="IM47" s="361"/>
      <c r="IN47" s="361"/>
      <c r="IO47" s="361"/>
      <c r="IP47" s="361"/>
      <c r="IQ47" s="361"/>
      <c r="IR47" s="361"/>
      <c r="IS47" s="361"/>
      <c r="IT47" s="361"/>
      <c r="IU47" s="361"/>
      <c r="IV47" s="361"/>
      <c r="IW47" s="361"/>
      <c r="IX47" s="361"/>
      <c r="IY47" s="346" t="s">
        <v>90</v>
      </c>
      <c r="IZ47" s="346"/>
      <c r="JA47" s="346"/>
      <c r="JB47" s="346"/>
      <c r="JC47" s="346"/>
      <c r="JD47" s="346"/>
      <c r="JE47" s="361"/>
    </row>
    <row r="48" spans="1:265" s="175" customFormat="1" ht="13.95" customHeight="1" thickTop="1">
      <c r="A48" s="361"/>
      <c r="B48" s="368"/>
      <c r="C48" s="368"/>
      <c r="D48" s="368"/>
      <c r="E48" s="367"/>
      <c r="F48" s="367"/>
      <c r="G48" s="367"/>
      <c r="H48" s="367"/>
      <c r="I48" s="367"/>
      <c r="J48" s="361"/>
      <c r="K48" s="360"/>
      <c r="L48" s="360"/>
      <c r="M48" s="361"/>
      <c r="N48" s="361"/>
      <c r="IY48" s="346" t="s">
        <v>21</v>
      </c>
      <c r="IZ48" s="346"/>
      <c r="JA48" s="346"/>
      <c r="JB48" s="346"/>
      <c r="JC48" s="346"/>
      <c r="JD48" s="346"/>
      <c r="JE48" s="361"/>
    </row>
    <row r="49" spans="1:265" s="175" customFormat="1" ht="7.95" customHeight="1" thickBot="1">
      <c r="A49" s="361"/>
      <c r="B49" s="368"/>
      <c r="C49" s="368"/>
      <c r="D49" s="368"/>
      <c r="E49" s="367"/>
      <c r="F49" s="367"/>
      <c r="G49" s="367"/>
      <c r="H49" s="367"/>
      <c r="I49" s="367"/>
      <c r="J49" s="361"/>
      <c r="K49" s="360"/>
      <c r="L49" s="360"/>
      <c r="M49" s="361"/>
      <c r="N49" s="361"/>
      <c r="JE49" s="361"/>
    </row>
    <row r="50" spans="1:265" s="804" customFormat="1" ht="19.95" customHeight="1">
      <c r="A50" s="799"/>
      <c r="B50" s="800" t="s">
        <v>93</v>
      </c>
      <c r="C50" s="801"/>
      <c r="D50" s="801"/>
      <c r="E50" s="801"/>
      <c r="F50" s="801"/>
      <c r="G50" s="801"/>
      <c r="H50" s="801"/>
      <c r="I50" s="801"/>
      <c r="J50" s="801"/>
      <c r="K50" s="802"/>
      <c r="L50" s="803"/>
      <c r="M50" s="799"/>
      <c r="JD50" s="799"/>
    </row>
    <row r="51" spans="1:265" s="809" customFormat="1" ht="14.55" customHeight="1">
      <c r="A51" s="805"/>
      <c r="B51" s="806"/>
      <c r="C51" s="807"/>
      <c r="D51" s="807"/>
      <c r="E51" s="807"/>
      <c r="F51" s="807"/>
      <c r="G51" s="807"/>
      <c r="H51" s="807"/>
      <c r="I51" s="807"/>
      <c r="J51" s="807"/>
      <c r="K51" s="808"/>
      <c r="L51" s="803"/>
      <c r="M51" s="805"/>
      <c r="JD51" s="805"/>
    </row>
    <row r="52" spans="1:265" s="815" customFormat="1" ht="33.6" customHeight="1" thickBot="1">
      <c r="A52" s="810"/>
      <c r="B52" s="811" t="s">
        <v>41</v>
      </c>
      <c r="C52" s="812" t="s">
        <v>13</v>
      </c>
      <c r="D52" s="812" t="s">
        <v>35</v>
      </c>
      <c r="E52" s="813" t="s">
        <v>33</v>
      </c>
      <c r="F52" s="813" t="s">
        <v>15</v>
      </c>
      <c r="G52" s="813" t="s">
        <v>34</v>
      </c>
      <c r="H52" s="812" t="s">
        <v>32</v>
      </c>
      <c r="I52" s="812" t="s">
        <v>30</v>
      </c>
      <c r="J52" s="812" t="s">
        <v>76</v>
      </c>
      <c r="K52" s="814" t="s">
        <v>77</v>
      </c>
      <c r="L52" s="803"/>
      <c r="M52" s="810"/>
      <c r="JD52" s="810"/>
    </row>
    <row r="53" spans="1:265" ht="19.95" customHeight="1">
      <c r="A53" s="369"/>
      <c r="B53" s="469" t="s">
        <v>23</v>
      </c>
      <c r="C53" s="470" t="s">
        <v>155</v>
      </c>
      <c r="D53" s="471" t="s">
        <v>70</v>
      </c>
      <c r="E53" s="472">
        <f t="shared" ref="E53:E69" ca="1" si="4">SUM(G93)</f>
        <v>4999.9392000000007</v>
      </c>
      <c r="F53" s="467">
        <v>0</v>
      </c>
      <c r="G53" s="473">
        <f ca="1">SUM(E53-F53)</f>
        <v>4999.9392000000007</v>
      </c>
      <c r="H53" s="474">
        <v>0</v>
      </c>
      <c r="I53" s="475">
        <f ca="1">SUM(G53-H53)</f>
        <v>4999.9392000000007</v>
      </c>
      <c r="J53" s="476" t="s">
        <v>88</v>
      </c>
      <c r="K53" s="477" t="s">
        <v>81</v>
      </c>
      <c r="L53" s="687"/>
      <c r="M53" s="369"/>
      <c r="JD53" s="369"/>
    </row>
    <row r="54" spans="1:265" ht="19.95" customHeight="1">
      <c r="A54" s="369"/>
      <c r="B54" s="478"/>
      <c r="C54" s="329" t="s">
        <v>155</v>
      </c>
      <c r="D54" s="197" t="s">
        <v>71</v>
      </c>
      <c r="E54" s="222">
        <f t="shared" ca="1" si="4"/>
        <v>0</v>
      </c>
      <c r="F54" s="223"/>
      <c r="G54" s="224">
        <f ca="1">SUM(E54-F54)</f>
        <v>0</v>
      </c>
      <c r="H54" s="198">
        <v>0</v>
      </c>
      <c r="I54" s="479">
        <f ca="1">SUM(G54-H54)</f>
        <v>0</v>
      </c>
      <c r="J54" s="199" t="s">
        <v>88</v>
      </c>
      <c r="K54" s="480" t="s">
        <v>82</v>
      </c>
      <c r="L54" s="687"/>
      <c r="M54" s="369"/>
      <c r="JD54" s="369"/>
    </row>
    <row r="55" spans="1:265" ht="19.95" customHeight="1">
      <c r="A55" s="369"/>
      <c r="B55" s="478"/>
      <c r="C55" s="329" t="s">
        <v>155</v>
      </c>
      <c r="D55" s="197" t="s">
        <v>73</v>
      </c>
      <c r="E55" s="228">
        <f t="shared" ca="1" si="4"/>
        <v>0</v>
      </c>
      <c r="F55" s="224">
        <v>0</v>
      </c>
      <c r="G55" s="224">
        <f ca="1">SUM(E55-F55)</f>
        <v>0</v>
      </c>
      <c r="H55" s="194">
        <v>0</v>
      </c>
      <c r="I55" s="479">
        <f ca="1">SUM(G55-H55)</f>
        <v>0</v>
      </c>
      <c r="J55" s="199" t="s">
        <v>88</v>
      </c>
      <c r="K55" s="480" t="s">
        <v>84</v>
      </c>
      <c r="L55" s="687"/>
      <c r="M55" s="369"/>
      <c r="JD55" s="369"/>
    </row>
    <row r="56" spans="1:265" ht="19.95" customHeight="1">
      <c r="A56" s="369"/>
      <c r="B56" s="478"/>
      <c r="C56" s="345" t="s">
        <v>17</v>
      </c>
      <c r="D56" s="197" t="s">
        <v>74</v>
      </c>
      <c r="E56" s="228">
        <f t="shared" ca="1" si="4"/>
        <v>0</v>
      </c>
      <c r="F56" s="224">
        <v>0</v>
      </c>
      <c r="G56" s="224">
        <f t="shared" ref="G56:G64" ca="1" si="5">SUM(E56-F56)</f>
        <v>0</v>
      </c>
      <c r="H56" s="194">
        <v>0</v>
      </c>
      <c r="I56" s="479">
        <f t="shared" ref="I56:I65" ca="1" si="6">SUM(G56-H56)</f>
        <v>0</v>
      </c>
      <c r="J56" s="199" t="s">
        <v>88</v>
      </c>
      <c r="K56" s="481" t="s">
        <v>163</v>
      </c>
      <c r="L56" s="687"/>
      <c r="M56" s="369"/>
      <c r="JD56" s="369"/>
    </row>
    <row r="57" spans="1:265" ht="20.399999999999999" customHeight="1">
      <c r="A57" s="369"/>
      <c r="B57" s="478"/>
      <c r="C57" s="345" t="s">
        <v>17</v>
      </c>
      <c r="D57" s="197" t="s">
        <v>75</v>
      </c>
      <c r="E57" s="228">
        <f t="shared" si="4"/>
        <v>5084.5788000000002</v>
      </c>
      <c r="F57" s="224">
        <v>0</v>
      </c>
      <c r="G57" s="224">
        <f t="shared" si="5"/>
        <v>5084.5788000000002</v>
      </c>
      <c r="H57" s="194">
        <v>0</v>
      </c>
      <c r="I57" s="479">
        <f t="shared" si="6"/>
        <v>5084.5788000000002</v>
      </c>
      <c r="J57" s="199" t="s">
        <v>88</v>
      </c>
      <c r="K57" s="481" t="s">
        <v>164</v>
      </c>
      <c r="L57" s="687"/>
      <c r="M57" s="369"/>
      <c r="JD57" s="369"/>
    </row>
    <row r="58" spans="1:265" ht="19.95" customHeight="1">
      <c r="A58" s="369"/>
      <c r="B58" s="478"/>
      <c r="C58" s="345" t="s">
        <v>17</v>
      </c>
      <c r="D58" s="197" t="s">
        <v>154</v>
      </c>
      <c r="E58" s="228">
        <f t="shared" ca="1" si="4"/>
        <v>0</v>
      </c>
      <c r="F58" s="224">
        <v>0</v>
      </c>
      <c r="G58" s="224">
        <f t="shared" ca="1" si="5"/>
        <v>0</v>
      </c>
      <c r="H58" s="194">
        <v>0</v>
      </c>
      <c r="I58" s="479">
        <f t="shared" ca="1" si="6"/>
        <v>0</v>
      </c>
      <c r="J58" s="199" t="s">
        <v>88</v>
      </c>
      <c r="K58" s="481" t="s">
        <v>165</v>
      </c>
      <c r="L58" s="687"/>
      <c r="M58" s="369"/>
      <c r="JD58" s="369"/>
    </row>
    <row r="59" spans="1:265" ht="19.95" customHeight="1">
      <c r="A59" s="369"/>
      <c r="B59" s="478"/>
      <c r="C59" s="345" t="s">
        <v>17</v>
      </c>
      <c r="D59" s="197" t="s">
        <v>130</v>
      </c>
      <c r="E59" s="228">
        <f t="shared" ca="1" si="4"/>
        <v>9184.6875</v>
      </c>
      <c r="F59" s="224">
        <v>0</v>
      </c>
      <c r="G59" s="224">
        <f t="shared" ca="1" si="5"/>
        <v>9184.6875</v>
      </c>
      <c r="H59" s="194">
        <v>0</v>
      </c>
      <c r="I59" s="479">
        <f t="shared" ca="1" si="6"/>
        <v>9184.6875</v>
      </c>
      <c r="J59" s="199" t="s">
        <v>88</v>
      </c>
      <c r="K59" s="481" t="s">
        <v>131</v>
      </c>
      <c r="L59" s="687"/>
      <c r="M59" s="369"/>
      <c r="JD59" s="369"/>
    </row>
    <row r="60" spans="1:265" ht="19.95" customHeight="1">
      <c r="A60" s="369"/>
      <c r="B60" s="478"/>
      <c r="C60" s="345" t="s">
        <v>17</v>
      </c>
      <c r="D60" s="197" t="s">
        <v>153</v>
      </c>
      <c r="E60" s="228">
        <f t="shared" ca="1" si="4"/>
        <v>0</v>
      </c>
      <c r="F60" s="224">
        <v>0</v>
      </c>
      <c r="G60" s="224">
        <f t="shared" ca="1" si="5"/>
        <v>0</v>
      </c>
      <c r="H60" s="194">
        <v>0</v>
      </c>
      <c r="I60" s="479">
        <f t="shared" ca="1" si="6"/>
        <v>0</v>
      </c>
      <c r="J60" s="199" t="s">
        <v>88</v>
      </c>
      <c r="K60" s="481" t="s">
        <v>166</v>
      </c>
      <c r="L60" s="687"/>
      <c r="M60" s="369"/>
      <c r="JD60" s="369"/>
    </row>
    <row r="61" spans="1:265" ht="19.95" customHeight="1">
      <c r="A61" s="369"/>
      <c r="B61" s="478"/>
      <c r="C61" s="329" t="s">
        <v>78</v>
      </c>
      <c r="D61" s="197" t="s">
        <v>72</v>
      </c>
      <c r="E61" s="228">
        <f t="shared" ca="1" si="4"/>
        <v>0</v>
      </c>
      <c r="F61" s="224">
        <v>0</v>
      </c>
      <c r="G61" s="224">
        <f t="shared" ca="1" si="5"/>
        <v>0</v>
      </c>
      <c r="H61" s="194">
        <v>0</v>
      </c>
      <c r="I61" s="479">
        <f t="shared" ca="1" si="6"/>
        <v>0</v>
      </c>
      <c r="J61" s="199" t="s">
        <v>88</v>
      </c>
      <c r="K61" s="480" t="s">
        <v>83</v>
      </c>
      <c r="L61" s="687"/>
      <c r="M61" s="369"/>
      <c r="JD61" s="369"/>
    </row>
    <row r="62" spans="1:265" ht="19.95" customHeight="1">
      <c r="A62" s="369"/>
      <c r="B62" s="478"/>
      <c r="C62" s="329" t="s">
        <v>78</v>
      </c>
      <c r="D62" s="197" t="s">
        <v>67</v>
      </c>
      <c r="E62" s="228">
        <f t="shared" si="4"/>
        <v>1140.48</v>
      </c>
      <c r="F62" s="224">
        <v>0</v>
      </c>
      <c r="G62" s="224">
        <f t="shared" si="5"/>
        <v>1140.48</v>
      </c>
      <c r="H62" s="194">
        <v>0</v>
      </c>
      <c r="I62" s="479">
        <f t="shared" si="6"/>
        <v>1140.48</v>
      </c>
      <c r="J62" s="199" t="s">
        <v>88</v>
      </c>
      <c r="K62" s="480" t="s">
        <v>85</v>
      </c>
      <c r="L62" s="687"/>
      <c r="M62" s="369"/>
      <c r="JD62" s="369"/>
    </row>
    <row r="63" spans="1:265" ht="19.95" customHeight="1">
      <c r="A63" s="369"/>
      <c r="B63" s="478"/>
      <c r="C63" s="329" t="s">
        <v>78</v>
      </c>
      <c r="D63" s="197" t="s">
        <v>68</v>
      </c>
      <c r="E63" s="228">
        <f t="shared" ca="1" si="4"/>
        <v>0</v>
      </c>
      <c r="F63" s="224">
        <v>0</v>
      </c>
      <c r="G63" s="224">
        <f t="shared" ca="1" si="5"/>
        <v>0</v>
      </c>
      <c r="H63" s="194">
        <v>0</v>
      </c>
      <c r="I63" s="479">
        <f t="shared" ca="1" si="6"/>
        <v>0</v>
      </c>
      <c r="J63" s="199" t="s">
        <v>88</v>
      </c>
      <c r="K63" s="480" t="s">
        <v>86</v>
      </c>
      <c r="L63" s="687"/>
      <c r="M63" s="369"/>
      <c r="JD63" s="369"/>
    </row>
    <row r="64" spans="1:265" ht="19.95" customHeight="1">
      <c r="A64" s="369"/>
      <c r="B64" s="478"/>
      <c r="C64" s="329" t="s">
        <v>78</v>
      </c>
      <c r="D64" s="197" t="s">
        <v>90</v>
      </c>
      <c r="E64" s="228">
        <f t="shared" ca="1" si="4"/>
        <v>0</v>
      </c>
      <c r="F64" s="224">
        <v>0</v>
      </c>
      <c r="G64" s="224">
        <f t="shared" ca="1" si="5"/>
        <v>0</v>
      </c>
      <c r="H64" s="194">
        <v>0</v>
      </c>
      <c r="I64" s="479">
        <f t="shared" ca="1" si="6"/>
        <v>0</v>
      </c>
      <c r="J64" s="199" t="s">
        <v>88</v>
      </c>
      <c r="K64" s="480" t="s">
        <v>91</v>
      </c>
      <c r="L64" s="687"/>
      <c r="M64" s="369"/>
      <c r="JD64" s="369"/>
    </row>
    <row r="65" spans="1:265" ht="19.95" customHeight="1">
      <c r="A65" s="369"/>
      <c r="B65" s="478"/>
      <c r="C65" s="329" t="s">
        <v>78</v>
      </c>
      <c r="D65" s="197" t="s">
        <v>69</v>
      </c>
      <c r="E65" s="228">
        <f t="shared" ca="1" si="4"/>
        <v>0</v>
      </c>
      <c r="F65" s="224">
        <v>0</v>
      </c>
      <c r="G65" s="224">
        <f ca="1">SUM(E65-F65)</f>
        <v>0</v>
      </c>
      <c r="H65" s="194">
        <v>0</v>
      </c>
      <c r="I65" s="479">
        <f t="shared" ca="1" si="6"/>
        <v>0</v>
      </c>
      <c r="J65" s="199" t="s">
        <v>88</v>
      </c>
      <c r="K65" s="482" t="s">
        <v>87</v>
      </c>
      <c r="L65" s="688"/>
      <c r="M65" s="369"/>
      <c r="JD65" s="369"/>
    </row>
    <row r="66" spans="1:265" ht="19.95" customHeight="1" thickBot="1">
      <c r="A66" s="369"/>
      <c r="B66" s="483"/>
      <c r="C66" s="484" t="s">
        <v>18</v>
      </c>
      <c r="D66" s="485" t="s">
        <v>21</v>
      </c>
      <c r="E66" s="486">
        <f t="shared" si="4"/>
        <v>6242.6716799999995</v>
      </c>
      <c r="F66" s="487">
        <v>0</v>
      </c>
      <c r="G66" s="487">
        <f>SUM(E66-F66)</f>
        <v>6242.6716799999995</v>
      </c>
      <c r="H66" s="488">
        <v>0</v>
      </c>
      <c r="I66" s="489">
        <f>SUM(G66-H66)</f>
        <v>6242.6716799999995</v>
      </c>
      <c r="J66" s="490" t="s">
        <v>88</v>
      </c>
      <c r="K66" s="491" t="s">
        <v>167</v>
      </c>
      <c r="L66" s="767" t="s">
        <v>219</v>
      </c>
      <c r="M66" s="369"/>
      <c r="JD66" s="369"/>
    </row>
    <row r="67" spans="1:265" ht="19.95" customHeight="1">
      <c r="A67" s="369"/>
      <c r="B67" s="492" t="s">
        <v>24</v>
      </c>
      <c r="C67" s="493" t="s">
        <v>61</v>
      </c>
      <c r="D67" s="471" t="s">
        <v>97</v>
      </c>
      <c r="E67" s="472">
        <f t="shared" ca="1" si="4"/>
        <v>1880.8683400000002</v>
      </c>
      <c r="F67" s="473">
        <v>0</v>
      </c>
      <c r="G67" s="473">
        <f ca="1">SUM(E67-F67)</f>
        <v>1880.8683400000002</v>
      </c>
      <c r="H67" s="494">
        <v>0</v>
      </c>
      <c r="I67" s="475">
        <f ca="1">SUM(G67-H67)</f>
        <v>1880.8683400000002</v>
      </c>
      <c r="J67" s="476" t="s">
        <v>88</v>
      </c>
      <c r="K67" s="495" t="s">
        <v>98</v>
      </c>
      <c r="L67" s="689"/>
      <c r="M67" s="369"/>
      <c r="JD67" s="369"/>
    </row>
    <row r="68" spans="1:265" ht="19.95" customHeight="1">
      <c r="A68" s="369"/>
      <c r="B68" s="496" t="s">
        <v>159</v>
      </c>
      <c r="C68" s="193" t="s">
        <v>155</v>
      </c>
      <c r="D68" s="197" t="s">
        <v>70</v>
      </c>
      <c r="E68" s="222">
        <f t="shared" ca="1" si="4"/>
        <v>3761.7366800000004</v>
      </c>
      <c r="F68" s="224">
        <v>0</v>
      </c>
      <c r="G68" s="224">
        <f ca="1">SUM(E68-F68)</f>
        <v>3761.7366800000004</v>
      </c>
      <c r="H68" s="194">
        <v>0</v>
      </c>
      <c r="I68" s="479">
        <f ca="1">SUM(G68-H68)</f>
        <v>3761.7366800000004</v>
      </c>
      <c r="J68" s="199" t="s">
        <v>88</v>
      </c>
      <c r="K68" s="497" t="s">
        <v>81</v>
      </c>
      <c r="L68" s="689"/>
      <c r="M68" s="369"/>
      <c r="JD68" s="369"/>
    </row>
    <row r="69" spans="1:265" ht="19.95" customHeight="1" thickBot="1">
      <c r="A69" s="369"/>
      <c r="B69" s="523" t="s">
        <v>162</v>
      </c>
      <c r="C69" s="524" t="s">
        <v>267</v>
      </c>
      <c r="D69" s="498" t="s">
        <v>79</v>
      </c>
      <c r="E69" s="499">
        <f t="shared" ca="1" si="4"/>
        <v>3761.7366800000004</v>
      </c>
      <c r="F69" s="500">
        <v>0</v>
      </c>
      <c r="G69" s="500">
        <f ca="1">SUM(E69-F69)</f>
        <v>3761.7366800000004</v>
      </c>
      <c r="H69" s="501">
        <v>0</v>
      </c>
      <c r="I69" s="502">
        <f ca="1">SUM(G69-H69)</f>
        <v>3761.7366800000004</v>
      </c>
      <c r="J69" s="503" t="s">
        <v>88</v>
      </c>
      <c r="K69" s="504" t="s">
        <v>89</v>
      </c>
      <c r="L69" s="689"/>
      <c r="M69" s="369"/>
      <c r="JD69" s="369"/>
    </row>
    <row r="70" spans="1:265" s="183" customFormat="1" ht="19.95" customHeight="1" thickBot="1">
      <c r="A70" s="370"/>
      <c r="B70" s="507"/>
      <c r="C70" s="508"/>
      <c r="D70" s="509"/>
      <c r="E70" s="510">
        <f ca="1">SUM(E53:E69)</f>
        <v>36056.698880000004</v>
      </c>
      <c r="F70" s="511"/>
      <c r="G70" s="505">
        <f ca="1">SUM(G53:G69)</f>
        <v>36056.698880000004</v>
      </c>
      <c r="H70" s="512"/>
      <c r="I70" s="506">
        <f ca="1">SUM(I53:I69)</f>
        <v>36056.698880000004</v>
      </c>
      <c r="J70" s="513"/>
      <c r="K70" s="514"/>
      <c r="L70" s="690"/>
      <c r="M70" s="370"/>
      <c r="JD70" s="370"/>
    </row>
    <row r="71" spans="1:265" ht="16.2" thickTop="1">
      <c r="A71" s="369"/>
      <c r="B71" s="371"/>
      <c r="C71" s="371"/>
      <c r="D71" s="372"/>
      <c r="E71" s="373"/>
      <c r="F71" s="374"/>
      <c r="G71" s="374"/>
      <c r="H71" s="186"/>
      <c r="I71" s="369"/>
      <c r="J71" s="369"/>
      <c r="K71" s="369"/>
      <c r="L71" s="369"/>
      <c r="M71" s="369"/>
      <c r="N71" s="369"/>
      <c r="JE71" s="369"/>
    </row>
    <row r="72" spans="1:265" ht="15.6">
      <c r="A72" s="369"/>
      <c r="B72" s="371"/>
      <c r="C72" s="371"/>
      <c r="D72" s="372"/>
      <c r="E72" s="373"/>
      <c r="F72" s="374"/>
      <c r="G72" s="374"/>
      <c r="H72" s="374"/>
      <c r="I72" s="374"/>
      <c r="J72" s="369"/>
      <c r="K72" s="369"/>
      <c r="L72" s="369"/>
      <c r="M72" s="369"/>
      <c r="N72" s="369"/>
      <c r="JE72" s="369"/>
    </row>
    <row r="73" spans="1:265" s="175" customFormat="1" ht="14.55" customHeight="1">
      <c r="A73" s="361"/>
      <c r="B73" s="361"/>
      <c r="C73" s="361"/>
      <c r="D73" s="361"/>
      <c r="E73" s="375"/>
      <c r="F73" s="375"/>
      <c r="G73" s="375"/>
      <c r="H73" s="375"/>
      <c r="I73" s="369"/>
      <c r="J73" s="369"/>
      <c r="K73" s="369"/>
      <c r="L73" s="369"/>
      <c r="M73" s="369"/>
      <c r="N73" s="369"/>
      <c r="JE73" s="361"/>
    </row>
    <row r="74" spans="1:265" ht="13.8">
      <c r="A74" s="369"/>
      <c r="B74" s="369"/>
      <c r="C74" s="369"/>
      <c r="D74" s="369"/>
      <c r="E74" s="186"/>
      <c r="F74" s="186"/>
      <c r="G74" s="186"/>
      <c r="H74" s="186"/>
      <c r="I74" s="369"/>
      <c r="J74" s="369"/>
      <c r="K74" s="369"/>
      <c r="L74" s="369"/>
      <c r="M74" s="369"/>
      <c r="N74" s="369"/>
      <c r="JE74" s="369"/>
    </row>
    <row r="75" spans="1:265" ht="13.8">
      <c r="A75" s="369"/>
      <c r="B75" s="369"/>
      <c r="C75" s="369"/>
      <c r="D75" s="369"/>
      <c r="E75" s="186"/>
      <c r="F75" s="186"/>
      <c r="G75" s="186"/>
      <c r="H75" s="186"/>
      <c r="I75" s="369"/>
      <c r="J75" s="369"/>
      <c r="K75" s="369"/>
      <c r="L75" s="369"/>
      <c r="M75" s="369"/>
      <c r="N75" s="369"/>
      <c r="JE75" s="369"/>
    </row>
    <row r="76" spans="1:265" ht="13.8">
      <c r="A76" s="369"/>
      <c r="B76" s="369"/>
      <c r="C76" s="369"/>
      <c r="D76" s="369"/>
      <c r="E76" s="186"/>
      <c r="F76" s="186"/>
      <c r="G76" s="186"/>
      <c r="H76" s="186"/>
      <c r="I76" s="369"/>
      <c r="J76" s="369"/>
      <c r="K76" s="369"/>
      <c r="L76" s="369"/>
      <c r="M76" s="369"/>
      <c r="N76" s="369"/>
      <c r="JE76" s="369"/>
    </row>
    <row r="77" spans="1:265" ht="13.8">
      <c r="A77" s="369"/>
      <c r="B77" s="369"/>
      <c r="C77" s="369"/>
      <c r="D77" s="369"/>
      <c r="E77" s="186"/>
      <c r="F77" s="186"/>
      <c r="G77" s="186"/>
      <c r="H77" s="186"/>
      <c r="I77" s="369"/>
      <c r="J77" s="369"/>
      <c r="K77" s="369"/>
      <c r="L77" s="369"/>
      <c r="M77" s="369"/>
      <c r="N77" s="369"/>
      <c r="JE77" s="369"/>
    </row>
    <row r="78" spans="1:265" ht="13.8">
      <c r="A78" s="369"/>
      <c r="B78" s="369"/>
      <c r="C78" s="369"/>
      <c r="D78" s="369"/>
      <c r="E78" s="186"/>
      <c r="F78" s="186"/>
      <c r="G78" s="186"/>
      <c r="H78" s="186"/>
      <c r="I78" s="369"/>
      <c r="J78" s="369"/>
      <c r="K78" s="369"/>
      <c r="L78" s="369"/>
      <c r="M78" s="369"/>
      <c r="N78" s="369"/>
      <c r="JE78" s="369"/>
    </row>
    <row r="79" spans="1:265" ht="13.8">
      <c r="A79" s="369"/>
      <c r="B79" s="369"/>
      <c r="C79" s="369"/>
      <c r="D79" s="369"/>
      <c r="E79" s="186"/>
      <c r="F79" s="186"/>
      <c r="G79" s="186"/>
      <c r="H79" s="186"/>
      <c r="I79" s="369"/>
      <c r="J79" s="369"/>
      <c r="K79" s="369"/>
      <c r="L79" s="369"/>
      <c r="M79" s="369"/>
      <c r="N79" s="369"/>
      <c r="JE79" s="369"/>
    </row>
    <row r="80" spans="1:265" ht="13.8">
      <c r="A80" s="369"/>
      <c r="B80" s="369"/>
      <c r="C80" s="369"/>
      <c r="D80" s="369"/>
      <c r="E80" s="186"/>
      <c r="F80" s="186"/>
      <c r="G80" s="186"/>
      <c r="H80" s="186"/>
      <c r="I80" s="369"/>
      <c r="J80" s="369"/>
      <c r="K80" s="369"/>
      <c r="L80" s="369"/>
      <c r="M80" s="369"/>
      <c r="N80" s="369"/>
      <c r="JE80" s="369"/>
    </row>
    <row r="81" spans="1:265" ht="13.8">
      <c r="A81" s="369"/>
      <c r="B81" s="369"/>
      <c r="C81" s="369"/>
      <c r="D81" s="369"/>
      <c r="E81" s="186"/>
      <c r="F81" s="186"/>
      <c r="G81" s="186"/>
      <c r="H81" s="186"/>
      <c r="I81" s="369"/>
      <c r="J81" s="369"/>
      <c r="K81" s="369"/>
      <c r="L81" s="369"/>
      <c r="M81" s="369"/>
      <c r="N81" s="369"/>
      <c r="JE81" s="369"/>
    </row>
    <row r="82" spans="1:265" ht="13.8">
      <c r="A82" s="369"/>
      <c r="B82" s="369"/>
      <c r="C82" s="369"/>
      <c r="D82" s="369"/>
      <c r="E82" s="186"/>
      <c r="F82" s="186"/>
      <c r="G82" s="186"/>
      <c r="H82" s="186"/>
      <c r="I82" s="369"/>
      <c r="J82" s="369"/>
      <c r="K82" s="369"/>
      <c r="L82" s="369"/>
      <c r="M82" s="369"/>
      <c r="N82" s="369"/>
      <c r="JE82" s="369"/>
    </row>
    <row r="83" spans="1:265" ht="13.8">
      <c r="A83" s="369"/>
      <c r="B83" s="369"/>
      <c r="C83" s="369"/>
      <c r="D83" s="369"/>
      <c r="E83" s="186"/>
      <c r="F83" s="186"/>
      <c r="G83" s="186"/>
      <c r="H83" s="186"/>
      <c r="I83" s="369"/>
      <c r="J83" s="369"/>
      <c r="K83" s="369"/>
      <c r="L83" s="369"/>
      <c r="M83" s="369"/>
      <c r="N83" s="369"/>
      <c r="JE83" s="369"/>
    </row>
    <row r="84" spans="1:265" ht="13.8">
      <c r="A84" s="369"/>
      <c r="B84" s="369"/>
      <c r="C84" s="369"/>
      <c r="D84" s="369"/>
      <c r="E84" s="186"/>
      <c r="F84" s="186"/>
      <c r="G84" s="186"/>
      <c r="H84" s="186"/>
      <c r="I84" s="369"/>
      <c r="J84" s="369"/>
      <c r="K84" s="369"/>
      <c r="L84" s="369"/>
      <c r="M84" s="369"/>
      <c r="N84" s="369"/>
      <c r="JE84" s="369"/>
    </row>
    <row r="85" spans="1:265" ht="13.8">
      <c r="A85" s="369"/>
      <c r="B85" s="369"/>
      <c r="C85" s="369"/>
      <c r="D85" s="369"/>
      <c r="E85" s="186"/>
      <c r="F85" s="186"/>
      <c r="G85" s="186"/>
      <c r="H85" s="186"/>
      <c r="I85" s="369"/>
      <c r="J85" s="369"/>
      <c r="K85" s="369"/>
      <c r="L85" s="369"/>
      <c r="M85" s="369"/>
      <c r="N85" s="369"/>
      <c r="JE85" s="369"/>
    </row>
    <row r="86" spans="1:265" ht="13.8">
      <c r="A86" s="369"/>
      <c r="B86" s="369"/>
      <c r="C86" s="369"/>
      <c r="D86" s="369"/>
      <c r="E86" s="186"/>
      <c r="F86" s="186"/>
      <c r="G86" s="186"/>
      <c r="H86" s="186"/>
      <c r="I86" s="369"/>
      <c r="J86" s="369"/>
      <c r="K86" s="369"/>
      <c r="L86" s="369"/>
      <c r="M86" s="369"/>
      <c r="N86" s="369"/>
      <c r="JE86" s="369"/>
    </row>
    <row r="87" spans="1:265" ht="13.8">
      <c r="A87" s="369"/>
      <c r="B87" s="369"/>
      <c r="C87" s="369"/>
      <c r="D87" s="369"/>
      <c r="E87" s="186"/>
      <c r="F87" s="186"/>
      <c r="G87" s="186"/>
      <c r="H87" s="186"/>
      <c r="I87" s="369"/>
      <c r="J87" s="369"/>
      <c r="K87" s="369"/>
      <c r="L87" s="369"/>
      <c r="M87" s="369"/>
      <c r="N87" s="369"/>
      <c r="JE87" s="369"/>
    </row>
    <row r="88" spans="1:265" ht="13.8">
      <c r="A88" s="369"/>
      <c r="B88" s="369"/>
      <c r="C88" s="369"/>
      <c r="D88" s="369"/>
      <c r="E88" s="186"/>
      <c r="F88" s="186"/>
      <c r="G88" s="186"/>
      <c r="H88" s="186"/>
      <c r="I88" s="369"/>
      <c r="J88" s="369"/>
      <c r="K88" s="369"/>
      <c r="L88" s="369"/>
      <c r="M88" s="369"/>
      <c r="N88" s="369"/>
      <c r="JE88" s="369"/>
    </row>
    <row r="89" spans="1:265" ht="13.8">
      <c r="A89" s="369"/>
      <c r="B89" s="369"/>
      <c r="C89" s="369"/>
      <c r="D89" s="369"/>
      <c r="E89" s="186"/>
      <c r="F89" s="186"/>
      <c r="G89" s="186"/>
      <c r="H89" s="186"/>
      <c r="I89" s="369"/>
      <c r="J89" s="369"/>
      <c r="K89" s="369"/>
      <c r="L89" s="369"/>
      <c r="M89" s="369"/>
      <c r="N89" s="369"/>
      <c r="JE89" s="369"/>
    </row>
    <row r="90" spans="1:265" ht="13.95" hidden="1" customHeight="1" thickBot="1">
      <c r="A90" s="369"/>
      <c r="B90" s="369"/>
      <c r="C90" s="369"/>
      <c r="D90" s="369"/>
      <c r="E90" s="186"/>
      <c r="F90" s="186"/>
      <c r="G90" s="186"/>
      <c r="H90" s="186"/>
      <c r="I90" s="369"/>
      <c r="J90" s="369"/>
      <c r="K90" s="369"/>
      <c r="L90" s="369"/>
      <c r="M90" s="369"/>
      <c r="N90" s="369"/>
      <c r="JE90" s="369"/>
    </row>
    <row r="91" spans="1:265" ht="19.95" hidden="1" customHeight="1">
      <c r="A91" s="369"/>
      <c r="B91" s="539" t="s">
        <v>80</v>
      </c>
      <c r="C91" s="540"/>
      <c r="D91" s="540"/>
      <c r="E91" s="540"/>
      <c r="F91" s="540"/>
      <c r="G91" s="541"/>
      <c r="H91" s="376"/>
      <c r="I91" s="377" t="s">
        <v>160</v>
      </c>
      <c r="J91" s="369"/>
      <c r="K91" s="369"/>
      <c r="L91" s="369"/>
      <c r="M91" s="369"/>
      <c r="N91" s="369"/>
      <c r="JE91" s="369"/>
    </row>
    <row r="92" spans="1:265" ht="22.2" hidden="1" customHeight="1" thickBot="1">
      <c r="A92" s="369"/>
      <c r="B92" s="542" t="s">
        <v>41</v>
      </c>
      <c r="C92" s="543" t="s">
        <v>13</v>
      </c>
      <c r="D92" s="543" t="s">
        <v>14</v>
      </c>
      <c r="E92" s="544" t="s">
        <v>22</v>
      </c>
      <c r="F92" s="544" t="s">
        <v>15</v>
      </c>
      <c r="G92" s="545" t="s">
        <v>16</v>
      </c>
      <c r="H92" s="376"/>
      <c r="I92" s="376"/>
      <c r="J92" s="369"/>
      <c r="K92" s="369"/>
      <c r="L92" s="369"/>
      <c r="M92" s="369"/>
      <c r="N92" s="369"/>
      <c r="JE92" s="369"/>
    </row>
    <row r="93" spans="1:265" ht="22.2" hidden="1" customHeight="1">
      <c r="A93" s="369"/>
      <c r="B93" s="534" t="s">
        <v>23</v>
      </c>
      <c r="C93" s="535" t="s">
        <v>155</v>
      </c>
      <c r="D93" s="517" t="s">
        <v>70</v>
      </c>
      <c r="E93" s="516">
        <v>0.75</v>
      </c>
      <c r="F93" s="518">
        <v>0</v>
      </c>
      <c r="G93" s="519">
        <f ca="1">SUMIF($C4:$C47,"คุณนิมิต จุ้ยอยู่ทอง",$H4:$H47)*E93</f>
        <v>4999.9392000000007</v>
      </c>
      <c r="H93" s="378"/>
      <c r="I93" s="376"/>
      <c r="J93" s="369"/>
      <c r="K93" s="369"/>
      <c r="L93" s="369"/>
      <c r="M93" s="369"/>
      <c r="N93" s="369"/>
      <c r="JE93" s="369"/>
    </row>
    <row r="94" spans="1:265" ht="22.2" hidden="1" customHeight="1">
      <c r="A94" s="369"/>
      <c r="B94" s="536"/>
      <c r="C94" s="528" t="s">
        <v>155</v>
      </c>
      <c r="D94" s="379" t="s">
        <v>71</v>
      </c>
      <c r="E94" s="380">
        <v>0.75</v>
      </c>
      <c r="F94" s="521">
        <v>0</v>
      </c>
      <c r="G94" s="522">
        <f ca="1">SUMIF($C5:$C48,"คุณธวัช มีแสง",$H5:$H48)*E94</f>
        <v>0</v>
      </c>
      <c r="H94" s="378"/>
      <c r="I94" s="376"/>
      <c r="J94" s="369"/>
      <c r="K94" s="369"/>
      <c r="L94" s="369"/>
      <c r="M94" s="369"/>
      <c r="N94" s="369"/>
      <c r="JE94" s="369"/>
    </row>
    <row r="95" spans="1:265" ht="22.2" hidden="1" customHeight="1">
      <c r="A95" s="369"/>
      <c r="B95" s="536"/>
      <c r="C95" s="528" t="s">
        <v>155</v>
      </c>
      <c r="D95" s="379" t="s">
        <v>73</v>
      </c>
      <c r="E95" s="380">
        <v>0.75</v>
      </c>
      <c r="F95" s="521">
        <v>0</v>
      </c>
      <c r="G95" s="522">
        <f ca="1">SUMIF($C5:$C47,"คุณนิยนต์ อยู่ทะเล",$H5:$H47)*E95</f>
        <v>0</v>
      </c>
      <c r="H95" s="378"/>
      <c r="I95" s="376"/>
      <c r="J95" s="369"/>
      <c r="K95" s="369"/>
      <c r="L95" s="369"/>
      <c r="M95" s="369"/>
      <c r="N95" s="369"/>
      <c r="JE95" s="369"/>
    </row>
    <row r="96" spans="1:265" ht="22.2" hidden="1" customHeight="1">
      <c r="A96" s="369"/>
      <c r="B96" s="536"/>
      <c r="C96" s="528" t="s">
        <v>17</v>
      </c>
      <c r="D96" s="379" t="s">
        <v>74</v>
      </c>
      <c r="E96" s="380">
        <v>0.75</v>
      </c>
      <c r="F96" s="521">
        <v>0</v>
      </c>
      <c r="G96" s="522">
        <f ca="1">SUMIF($C5:$C47,"คุณจินตนา อ้อยหวาน",$H5:$H47)*E96</f>
        <v>0</v>
      </c>
      <c r="H96" s="378"/>
      <c r="I96" s="376"/>
      <c r="J96" s="369"/>
      <c r="K96" s="369"/>
      <c r="L96" s="369"/>
      <c r="M96" s="369"/>
      <c r="N96" s="369"/>
      <c r="JE96" s="369"/>
    </row>
    <row r="97" spans="1:265" ht="22.2" hidden="1" customHeight="1">
      <c r="A97" s="369"/>
      <c r="B97" s="536"/>
      <c r="C97" s="528" t="s">
        <v>17</v>
      </c>
      <c r="D97" s="379" t="s">
        <v>75</v>
      </c>
      <c r="E97" s="380">
        <v>0.75</v>
      </c>
      <c r="F97" s="521">
        <v>0</v>
      </c>
      <c r="G97" s="522">
        <f>SUMIF($C5:$C47,"คุณพัชรพรรณ พึ่งพา",$H5:$H47)*E97</f>
        <v>5084.5788000000002</v>
      </c>
      <c r="H97" s="378"/>
      <c r="I97" s="376"/>
      <c r="J97" s="369"/>
      <c r="K97" s="369"/>
      <c r="L97" s="369"/>
      <c r="M97" s="369"/>
      <c r="N97" s="369"/>
      <c r="JE97" s="369"/>
    </row>
    <row r="98" spans="1:265" ht="22.2" hidden="1" customHeight="1">
      <c r="A98" s="369"/>
      <c r="B98" s="536"/>
      <c r="C98" s="528" t="s">
        <v>17</v>
      </c>
      <c r="D98" s="379" t="s">
        <v>154</v>
      </c>
      <c r="E98" s="380">
        <v>0.75</v>
      </c>
      <c r="F98" s="521">
        <v>0</v>
      </c>
      <c r="G98" s="522">
        <f ca="1">SUMIF($C5:$C49,"คุณนรินทร์ ปิงมูล",$H5:$H52)*E98</f>
        <v>0</v>
      </c>
      <c r="H98" s="378"/>
      <c r="I98" s="376"/>
      <c r="J98" s="369"/>
      <c r="K98" s="369"/>
      <c r="L98" s="369"/>
      <c r="M98" s="369"/>
      <c r="N98" s="369"/>
      <c r="P98" s="344" t="s">
        <v>161</v>
      </c>
      <c r="JE98" s="369"/>
    </row>
    <row r="99" spans="1:265" ht="22.2" hidden="1" customHeight="1">
      <c r="A99" s="369"/>
      <c r="B99" s="536"/>
      <c r="C99" s="528" t="s">
        <v>17</v>
      </c>
      <c r="D99" s="379" t="s">
        <v>130</v>
      </c>
      <c r="E99" s="380">
        <v>0.75</v>
      </c>
      <c r="F99" s="521">
        <v>0</v>
      </c>
      <c r="G99" s="522">
        <f ca="1">SUMIF($C5:$C47,"คุณชนัฐฎา สนคะมี",$H5:$H47)*E99</f>
        <v>9184.6875</v>
      </c>
      <c r="H99" s="378"/>
      <c r="I99" s="376"/>
      <c r="J99" s="369"/>
      <c r="K99" s="369"/>
      <c r="L99" s="369"/>
      <c r="M99" s="369"/>
      <c r="N99" s="369"/>
      <c r="JE99" s="369"/>
    </row>
    <row r="100" spans="1:265" ht="22.2" hidden="1" customHeight="1">
      <c r="A100" s="369"/>
      <c r="B100" s="536"/>
      <c r="C100" s="528" t="s">
        <v>17</v>
      </c>
      <c r="D100" s="379" t="s">
        <v>153</v>
      </c>
      <c r="E100" s="380">
        <v>0.75</v>
      </c>
      <c r="F100" s="521">
        <v>0</v>
      </c>
      <c r="G100" s="522">
        <f ca="1">SUMIF($C6:$C48,"คุณจิรภิญญา เป็นปึก",$H6:$H48)*E100</f>
        <v>0</v>
      </c>
      <c r="H100" s="378"/>
      <c r="I100" s="376"/>
      <c r="J100" s="369"/>
      <c r="K100" s="369"/>
      <c r="L100" s="369"/>
      <c r="M100" s="369"/>
      <c r="N100" s="369"/>
      <c r="P100" s="343" t="s">
        <v>161</v>
      </c>
      <c r="JE100" s="369"/>
    </row>
    <row r="101" spans="1:265" ht="22.2" hidden="1" customHeight="1">
      <c r="A101" s="369"/>
      <c r="B101" s="536"/>
      <c r="C101" s="528" t="s">
        <v>78</v>
      </c>
      <c r="D101" s="379" t="s">
        <v>72</v>
      </c>
      <c r="E101" s="380">
        <v>0.75</v>
      </c>
      <c r="F101" s="521">
        <v>0</v>
      </c>
      <c r="G101" s="522">
        <f ca="1">SUMIF($C5:$C47,"คุณแดง มูลสองแคว",$H5:$H47)*E101</f>
        <v>0</v>
      </c>
      <c r="H101" s="378"/>
      <c r="I101" s="376"/>
      <c r="J101" s="369"/>
      <c r="K101" s="369"/>
      <c r="L101" s="369"/>
      <c r="M101" s="369"/>
      <c r="N101" s="369"/>
      <c r="JE101" s="369"/>
    </row>
    <row r="102" spans="1:265" ht="22.2" hidden="1" customHeight="1">
      <c r="A102" s="369"/>
      <c r="B102" s="536"/>
      <c r="C102" s="528" t="s">
        <v>78</v>
      </c>
      <c r="D102" s="379" t="s">
        <v>67</v>
      </c>
      <c r="E102" s="380">
        <v>0.75</v>
      </c>
      <c r="F102" s="521">
        <v>0</v>
      </c>
      <c r="G102" s="522">
        <f>SUMIF($C6:$C48,"คุณรุ่งอรุณ อินบุญรอด",$H6:$H48)*E102</f>
        <v>1140.48</v>
      </c>
      <c r="H102" s="378"/>
      <c r="I102" s="376"/>
      <c r="J102" s="369"/>
      <c r="K102" s="369"/>
      <c r="L102" s="369"/>
      <c r="M102" s="369"/>
      <c r="N102" s="369"/>
      <c r="JE102" s="369"/>
    </row>
    <row r="103" spans="1:265" ht="22.2" hidden="1" customHeight="1">
      <c r="A103" s="369"/>
      <c r="B103" s="536"/>
      <c r="C103" s="528" t="s">
        <v>78</v>
      </c>
      <c r="D103" s="379" t="s">
        <v>68</v>
      </c>
      <c r="E103" s="380">
        <v>0.75</v>
      </c>
      <c r="F103" s="521">
        <v>0</v>
      </c>
      <c r="G103" s="522">
        <f ca="1">SUMIF($C7:$C49,"คุณศศินาถ จุ้ยอยู่ทอง",$H7:$H49)*E103</f>
        <v>0</v>
      </c>
      <c r="H103" s="378"/>
      <c r="I103" s="376"/>
      <c r="J103" s="369"/>
      <c r="K103" s="369"/>
      <c r="L103" s="369"/>
      <c r="M103" s="369"/>
      <c r="N103" s="369"/>
      <c r="JE103" s="369"/>
    </row>
    <row r="104" spans="1:265" ht="22.2" hidden="1" customHeight="1">
      <c r="A104" s="369"/>
      <c r="B104" s="536"/>
      <c r="C104" s="528" t="s">
        <v>78</v>
      </c>
      <c r="D104" s="379" t="s">
        <v>90</v>
      </c>
      <c r="E104" s="380">
        <v>0.75</v>
      </c>
      <c r="F104" s="521">
        <v>0</v>
      </c>
      <c r="G104" s="522">
        <f ca="1">SUMIF($C8:$C50,"คุณณรงศ์ศักย์ เหล่ารัตนเวช",$H8:$H50)*E104</f>
        <v>0</v>
      </c>
      <c r="H104" s="378"/>
      <c r="I104" s="376"/>
      <c r="J104" s="369"/>
      <c r="K104" s="369"/>
      <c r="L104" s="369"/>
      <c r="M104" s="369"/>
      <c r="N104" s="369"/>
      <c r="JE104" s="369"/>
    </row>
    <row r="105" spans="1:265" ht="22.2" hidden="1" customHeight="1">
      <c r="A105" s="369"/>
      <c r="B105" s="536"/>
      <c r="C105" s="528" t="s">
        <v>78</v>
      </c>
      <c r="D105" s="379" t="s">
        <v>69</v>
      </c>
      <c r="E105" s="380">
        <v>0.75</v>
      </c>
      <c r="F105" s="521">
        <v>0</v>
      </c>
      <c r="G105" s="522">
        <f ca="1">SUMIF($C9:$C51,"คุณธัญลักษณ์ หมื่นหลุบกุง",$H9:$H51)*E105</f>
        <v>0</v>
      </c>
      <c r="H105" s="378"/>
      <c r="I105" s="376"/>
      <c r="J105" s="369"/>
      <c r="K105" s="369"/>
      <c r="L105" s="369"/>
      <c r="M105" s="369"/>
      <c r="N105" s="369"/>
      <c r="JE105" s="369"/>
    </row>
    <row r="106" spans="1:265" ht="22.2" hidden="1" customHeight="1" thickBot="1">
      <c r="A106" s="369"/>
      <c r="B106" s="537"/>
      <c r="C106" s="538" t="s">
        <v>18</v>
      </c>
      <c r="D106" s="525" t="s">
        <v>21</v>
      </c>
      <c r="E106" s="524">
        <v>0.6</v>
      </c>
      <c r="F106" s="526">
        <v>0</v>
      </c>
      <c r="G106" s="527">
        <f>SUMIF($C10:$C52,"คุณจันทราภรณ์ สุภาพวนิช",$H10:$H52)*E106</f>
        <v>6242.6716799999995</v>
      </c>
      <c r="H106" s="378"/>
      <c r="I106" s="376"/>
      <c r="J106" s="369"/>
      <c r="K106" s="369"/>
      <c r="L106" s="369"/>
      <c r="M106" s="369"/>
      <c r="N106" s="369"/>
      <c r="JE106" s="369"/>
    </row>
    <row r="107" spans="1:265" ht="22.2" hidden="1" customHeight="1">
      <c r="A107" s="369"/>
      <c r="B107" s="529" t="s">
        <v>24</v>
      </c>
      <c r="C107" s="530" t="s">
        <v>61</v>
      </c>
      <c r="D107" s="531" t="s">
        <v>97</v>
      </c>
      <c r="E107" s="530">
        <v>0.05</v>
      </c>
      <c r="F107" s="532">
        <v>0</v>
      </c>
      <c r="G107" s="533">
        <f ca="1">$H$47*E107</f>
        <v>1880.8683400000002</v>
      </c>
      <c r="H107" s="376"/>
      <c r="I107" s="376"/>
      <c r="J107" s="369"/>
      <c r="K107" s="369"/>
      <c r="L107" s="369"/>
      <c r="M107" s="369"/>
      <c r="N107" s="369"/>
      <c r="JE107" s="369"/>
    </row>
    <row r="108" spans="1:265" ht="22.2" hidden="1" customHeight="1">
      <c r="A108" s="369"/>
      <c r="B108" s="520" t="s">
        <v>159</v>
      </c>
      <c r="C108" s="380" t="s">
        <v>155</v>
      </c>
      <c r="D108" s="379" t="s">
        <v>70</v>
      </c>
      <c r="E108" s="380">
        <v>0.1</v>
      </c>
      <c r="F108" s="521">
        <v>0</v>
      </c>
      <c r="G108" s="522">
        <f ca="1">$H$47*E108</f>
        <v>3761.7366800000004</v>
      </c>
      <c r="H108" s="376"/>
      <c r="I108" s="376"/>
      <c r="J108" s="369"/>
      <c r="K108" s="369"/>
      <c r="L108" s="369"/>
      <c r="M108" s="369"/>
      <c r="N108" s="369"/>
      <c r="JE108" s="369"/>
    </row>
    <row r="109" spans="1:265" ht="22.2" hidden="1" customHeight="1" thickBot="1">
      <c r="A109" s="369"/>
      <c r="B109" s="523" t="s">
        <v>162</v>
      </c>
      <c r="C109" s="524" t="s">
        <v>267</v>
      </c>
      <c r="D109" s="525" t="s">
        <v>79</v>
      </c>
      <c r="E109" s="524">
        <v>0.1</v>
      </c>
      <c r="F109" s="526">
        <v>0</v>
      </c>
      <c r="G109" s="527">
        <f ca="1">$H$47*E109</f>
        <v>3761.7366800000004</v>
      </c>
      <c r="H109" s="376"/>
      <c r="I109" s="376"/>
      <c r="J109" s="369"/>
      <c r="K109" s="369"/>
      <c r="L109" s="369"/>
      <c r="M109" s="369"/>
      <c r="N109" s="369"/>
      <c r="JE109" s="369"/>
    </row>
    <row r="110" spans="1:265" ht="18.600000000000001" hidden="1" customHeight="1" thickBot="1">
      <c r="A110" s="369"/>
      <c r="B110" s="371"/>
      <c r="C110" s="371"/>
      <c r="D110" s="372"/>
      <c r="E110" s="373"/>
      <c r="F110" s="374"/>
      <c r="G110" s="515">
        <f ca="1">SUM(G93:G109)</f>
        <v>36056.698880000004</v>
      </c>
      <c r="H110" s="376"/>
      <c r="I110" s="369"/>
      <c r="J110" s="369"/>
      <c r="K110" s="369"/>
      <c r="L110" s="369"/>
      <c r="M110" s="369"/>
      <c r="N110" s="369"/>
      <c r="JE110" s="369"/>
    </row>
    <row r="111" spans="1:265" ht="13.8">
      <c r="A111" s="369"/>
      <c r="B111" s="369"/>
      <c r="C111" s="369"/>
      <c r="D111" s="369"/>
      <c r="E111" s="186"/>
      <c r="F111" s="186"/>
      <c r="G111" s="186"/>
      <c r="H111" s="376"/>
      <c r="I111" s="186"/>
      <c r="J111" s="369"/>
      <c r="K111" s="369"/>
      <c r="L111" s="369"/>
      <c r="M111" s="369"/>
      <c r="N111" s="369"/>
      <c r="JE111" s="369"/>
    </row>
    <row r="112" spans="1:265" ht="13.8">
      <c r="A112" s="369"/>
      <c r="B112" s="369"/>
      <c r="C112" s="369"/>
      <c r="D112" s="369"/>
      <c r="E112" s="186"/>
      <c r="F112" s="186"/>
      <c r="G112" s="186"/>
      <c r="H112" s="376"/>
      <c r="I112" s="186"/>
      <c r="J112" s="369"/>
      <c r="K112" s="369"/>
      <c r="L112" s="369"/>
      <c r="M112" s="369"/>
      <c r="N112" s="369"/>
      <c r="JE112" s="369"/>
    </row>
    <row r="113" spans="1:265" ht="13.8">
      <c r="A113" s="369"/>
      <c r="B113" s="369"/>
      <c r="C113" s="369"/>
      <c r="D113" s="369"/>
      <c r="E113" s="186"/>
      <c r="F113" s="186"/>
      <c r="G113" s="186"/>
      <c r="H113" s="376"/>
      <c r="I113" s="186"/>
      <c r="J113" s="369"/>
      <c r="K113" s="369"/>
      <c r="L113" s="369"/>
      <c r="M113" s="369"/>
      <c r="N113" s="369"/>
      <c r="JE113" s="369"/>
    </row>
    <row r="114" spans="1:265" ht="13.8">
      <c r="E114" s="188"/>
      <c r="F114" s="188"/>
      <c r="G114" s="188"/>
      <c r="H114" s="87"/>
      <c r="I114" s="188"/>
      <c r="JE114" s="369"/>
    </row>
    <row r="115" spans="1:265" ht="13.8">
      <c r="E115" s="188"/>
      <c r="F115" s="188"/>
      <c r="G115" s="188"/>
      <c r="H115" s="188"/>
      <c r="I115" s="188"/>
      <c r="JE115" s="369"/>
    </row>
    <row r="116" spans="1:265" ht="13.8">
      <c r="E116" s="188"/>
      <c r="F116" s="188"/>
      <c r="G116" s="188"/>
      <c r="H116" s="188"/>
      <c r="I116" s="188"/>
      <c r="JE116" s="369"/>
    </row>
    <row r="117" spans="1:265" ht="13.8">
      <c r="E117" s="188"/>
      <c r="F117" s="188"/>
      <c r="G117" s="188"/>
      <c r="H117" s="188"/>
      <c r="I117" s="188"/>
      <c r="JE117" s="369"/>
    </row>
    <row r="118" spans="1:265" ht="13.8">
      <c r="E118" s="188"/>
      <c r="F118" s="188"/>
      <c r="G118" s="188"/>
      <c r="H118" s="188"/>
      <c r="I118" s="188"/>
      <c r="JE118" s="369"/>
    </row>
    <row r="119" spans="1:265" ht="13.8">
      <c r="E119" s="188"/>
      <c r="F119" s="188"/>
      <c r="G119" s="188"/>
      <c r="H119" s="188"/>
      <c r="I119" s="188"/>
      <c r="JE119" s="369"/>
    </row>
    <row r="120" spans="1:265" ht="13.8">
      <c r="E120" s="188"/>
      <c r="F120" s="188"/>
      <c r="G120" s="188"/>
      <c r="H120" s="188"/>
      <c r="I120" s="188"/>
      <c r="JE120" s="369"/>
    </row>
    <row r="121" spans="1:265" ht="13.8">
      <c r="E121" s="188"/>
      <c r="F121" s="188"/>
      <c r="G121" s="188"/>
      <c r="H121" s="188"/>
      <c r="I121" s="188"/>
      <c r="JE121" s="369"/>
    </row>
    <row r="122" spans="1:265" ht="13.8">
      <c r="E122" s="188"/>
      <c r="F122" s="188"/>
      <c r="G122" s="188"/>
      <c r="H122" s="188"/>
      <c r="I122" s="188"/>
      <c r="JE122" s="369"/>
    </row>
    <row r="123" spans="1:265" ht="13.8">
      <c r="E123" s="188"/>
      <c r="F123" s="188"/>
      <c r="G123" s="188"/>
      <c r="H123" s="188"/>
      <c r="I123" s="188"/>
      <c r="JE123" s="369"/>
    </row>
    <row r="124" spans="1:265" ht="13.95" customHeight="1">
      <c r="E124" s="188"/>
      <c r="F124" s="188"/>
      <c r="G124" s="188"/>
      <c r="H124" s="188"/>
      <c r="I124" s="188"/>
      <c r="JE124" s="369"/>
    </row>
    <row r="125" spans="1:265" ht="13.95" customHeight="1">
      <c r="E125" s="188"/>
      <c r="F125" s="188"/>
      <c r="G125" s="188"/>
      <c r="H125" s="188"/>
      <c r="I125" s="188"/>
      <c r="JE125" s="369"/>
    </row>
    <row r="126" spans="1:265" ht="13.95" customHeight="1">
      <c r="E126" s="188"/>
      <c r="F126" s="188"/>
      <c r="G126" s="188"/>
      <c r="H126" s="188"/>
      <c r="I126" s="188"/>
    </row>
    <row r="127" spans="1:265" ht="13.8">
      <c r="E127" s="188"/>
      <c r="F127" s="188"/>
      <c r="G127" s="188"/>
      <c r="H127" s="188"/>
      <c r="I127" s="188"/>
    </row>
    <row r="128" spans="1:265" ht="13.8">
      <c r="E128" s="188"/>
      <c r="F128" s="188"/>
      <c r="G128" s="188"/>
      <c r="H128" s="188"/>
      <c r="I128" s="188"/>
    </row>
    <row r="129" spans="5:9" ht="13.8">
      <c r="E129" s="188"/>
      <c r="F129" s="188"/>
      <c r="G129" s="188"/>
      <c r="H129" s="188"/>
      <c r="I129" s="188"/>
    </row>
    <row r="130" spans="5:9" ht="13.8">
      <c r="E130" s="188"/>
      <c r="F130" s="188"/>
      <c r="G130" s="188"/>
      <c r="H130" s="188"/>
      <c r="I130" s="188"/>
    </row>
    <row r="131" spans="5:9" ht="13.8">
      <c r="E131" s="188"/>
      <c r="F131" s="188"/>
      <c r="G131" s="188"/>
      <c r="H131" s="188"/>
      <c r="I131" s="188"/>
    </row>
    <row r="132" spans="5:9" ht="13.8">
      <c r="E132" s="188"/>
      <c r="F132" s="188"/>
      <c r="G132" s="188"/>
      <c r="H132" s="188"/>
      <c r="I132" s="188"/>
    </row>
    <row r="133" spans="5:9" ht="13.8">
      <c r="E133" s="188"/>
      <c r="F133" s="188"/>
      <c r="G133" s="188"/>
      <c r="H133" s="188"/>
      <c r="I133" s="188"/>
    </row>
    <row r="134" spans="5:9" ht="13.8">
      <c r="E134" s="188"/>
      <c r="F134" s="188"/>
      <c r="G134" s="188"/>
      <c r="H134" s="188"/>
      <c r="I134" s="188"/>
    </row>
    <row r="135" spans="5:9" ht="13.8">
      <c r="E135" s="188"/>
      <c r="F135" s="188"/>
      <c r="G135" s="188"/>
      <c r="H135" s="188"/>
      <c r="I135" s="188"/>
    </row>
    <row r="136" spans="5:9" ht="13.8">
      <c r="E136" s="188"/>
      <c r="F136" s="188"/>
      <c r="G136" s="188"/>
      <c r="H136" s="188"/>
      <c r="I136" s="188"/>
    </row>
    <row r="137" spans="5:9" ht="13.8">
      <c r="E137" s="188"/>
      <c r="F137" s="188"/>
      <c r="G137" s="188"/>
      <c r="H137" s="188"/>
      <c r="I137" s="188"/>
    </row>
    <row r="138" spans="5:9" ht="13.8">
      <c r="E138" s="188"/>
      <c r="F138" s="188"/>
      <c r="G138" s="188"/>
      <c r="H138" s="188"/>
      <c r="I138" s="188"/>
    </row>
    <row r="139" spans="5:9" ht="13.8">
      <c r="E139" s="188"/>
      <c r="F139" s="188"/>
      <c r="G139" s="188"/>
      <c r="H139" s="188"/>
      <c r="I139" s="188"/>
    </row>
    <row r="140" spans="5:9" ht="13.8">
      <c r="E140" s="188"/>
      <c r="F140" s="188"/>
      <c r="G140" s="188"/>
      <c r="H140" s="188"/>
      <c r="I140" s="188"/>
    </row>
    <row r="141" spans="5:9" ht="13.8">
      <c r="E141" s="188"/>
      <c r="F141" s="188"/>
      <c r="G141" s="188"/>
      <c r="H141" s="188"/>
      <c r="I141" s="188"/>
    </row>
    <row r="142" spans="5:9" ht="13.8">
      <c r="E142" s="188"/>
      <c r="F142" s="188"/>
      <c r="G142" s="188"/>
      <c r="H142" s="188"/>
      <c r="I142" s="188"/>
    </row>
    <row r="143" spans="5:9" ht="13.8">
      <c r="E143" s="188"/>
      <c r="F143" s="188"/>
      <c r="G143" s="188"/>
      <c r="H143" s="188"/>
      <c r="I143" s="188"/>
    </row>
    <row r="144" spans="5:9" ht="13.8">
      <c r="E144" s="188"/>
      <c r="F144" s="188"/>
      <c r="G144" s="188"/>
      <c r="H144" s="188"/>
      <c r="I144" s="188"/>
    </row>
    <row r="145" spans="5:9" ht="13.8">
      <c r="E145" s="188"/>
      <c r="F145" s="188"/>
      <c r="G145" s="188"/>
      <c r="H145" s="188"/>
      <c r="I145" s="188"/>
    </row>
    <row r="146" spans="5:9" ht="13.8">
      <c r="E146" s="188"/>
      <c r="F146" s="188"/>
      <c r="G146" s="188"/>
      <c r="H146" s="188"/>
      <c r="I146" s="188"/>
    </row>
    <row r="147" spans="5:9" ht="13.8">
      <c r="E147" s="188"/>
      <c r="F147" s="188"/>
      <c r="G147" s="188"/>
      <c r="H147" s="188"/>
      <c r="I147" s="188"/>
    </row>
    <row r="148" spans="5:9" ht="13.8">
      <c r="E148" s="188"/>
      <c r="F148" s="188"/>
      <c r="G148" s="188"/>
      <c r="H148" s="188"/>
      <c r="I148" s="188"/>
    </row>
    <row r="149" spans="5:9" ht="13.8">
      <c r="E149" s="188"/>
      <c r="F149" s="188"/>
      <c r="G149" s="188"/>
      <c r="H149" s="188"/>
      <c r="I149" s="188"/>
    </row>
    <row r="150" spans="5:9" ht="13.8">
      <c r="E150" s="188"/>
      <c r="F150" s="188"/>
      <c r="G150" s="188"/>
      <c r="H150" s="188"/>
      <c r="I150" s="188"/>
    </row>
    <row r="151" spans="5:9" ht="13.8">
      <c r="E151" s="188"/>
      <c r="F151" s="188"/>
      <c r="G151" s="188"/>
      <c r="H151" s="188"/>
      <c r="I151" s="188"/>
    </row>
    <row r="152" spans="5:9" ht="13.8">
      <c r="E152" s="188"/>
      <c r="F152" s="188"/>
      <c r="G152" s="188"/>
      <c r="H152" s="188"/>
      <c r="I152" s="188"/>
    </row>
    <row r="153" spans="5:9" ht="13.8">
      <c r="E153" s="188"/>
      <c r="F153" s="188"/>
      <c r="G153" s="188"/>
      <c r="H153" s="188"/>
      <c r="I153" s="188"/>
    </row>
    <row r="154" spans="5:9" ht="13.8">
      <c r="E154" s="188"/>
      <c r="F154" s="188"/>
      <c r="G154" s="188"/>
      <c r="H154" s="188"/>
      <c r="I154" s="188"/>
    </row>
    <row r="155" spans="5:9" ht="13.8">
      <c r="E155" s="188"/>
      <c r="F155" s="188"/>
      <c r="G155" s="188"/>
      <c r="H155" s="188"/>
      <c r="I155" s="188"/>
    </row>
    <row r="156" spans="5:9" ht="13.8">
      <c r="E156" s="188"/>
      <c r="F156" s="188"/>
      <c r="G156" s="188"/>
      <c r="H156" s="188"/>
      <c r="I156" s="188"/>
    </row>
    <row r="157" spans="5:9" ht="13.8">
      <c r="E157" s="188"/>
      <c r="F157" s="188"/>
      <c r="G157" s="188"/>
      <c r="H157" s="188"/>
      <c r="I157" s="188"/>
    </row>
    <row r="158" spans="5:9" ht="13.8">
      <c r="E158" s="188"/>
      <c r="F158" s="188"/>
      <c r="G158" s="188"/>
      <c r="H158" s="188"/>
      <c r="I158" s="188"/>
    </row>
    <row r="159" spans="5:9" ht="13.8">
      <c r="E159" s="188"/>
      <c r="F159" s="188"/>
      <c r="G159" s="188"/>
      <c r="H159" s="188"/>
      <c r="I159" s="188"/>
    </row>
    <row r="160" spans="5:9" ht="13.8">
      <c r="E160" s="188"/>
      <c r="F160" s="188"/>
      <c r="G160" s="188"/>
      <c r="H160" s="188"/>
      <c r="I160" s="188"/>
    </row>
    <row r="161" spans="5:9" ht="13.8">
      <c r="E161" s="188"/>
      <c r="F161" s="188"/>
      <c r="G161" s="188"/>
      <c r="H161" s="188"/>
      <c r="I161" s="188"/>
    </row>
    <row r="162" spans="5:9" ht="13.8">
      <c r="E162" s="188"/>
      <c r="F162" s="188"/>
      <c r="G162" s="188"/>
      <c r="H162" s="188"/>
      <c r="I162" s="188"/>
    </row>
    <row r="163" spans="5:9" ht="13.8">
      <c r="E163" s="188"/>
      <c r="F163" s="188"/>
      <c r="G163" s="188"/>
      <c r="H163" s="188"/>
      <c r="I163" s="188"/>
    </row>
    <row r="164" spans="5:9" ht="13.8">
      <c r="E164" s="188"/>
      <c r="F164" s="188"/>
      <c r="G164" s="188"/>
      <c r="H164" s="188"/>
      <c r="I164" s="188"/>
    </row>
    <row r="165" spans="5:9" ht="13.8">
      <c r="E165" s="188"/>
      <c r="F165" s="188"/>
      <c r="G165" s="188"/>
      <c r="H165" s="188"/>
      <c r="I165" s="188"/>
    </row>
    <row r="166" spans="5:9" ht="13.8">
      <c r="E166" s="188"/>
      <c r="F166" s="188"/>
      <c r="G166" s="188"/>
      <c r="H166" s="188"/>
      <c r="I166" s="188"/>
    </row>
    <row r="167" spans="5:9" ht="13.8"/>
    <row r="168" spans="5:9" ht="13.8"/>
    <row r="169" spans="5:9" ht="13.8"/>
    <row r="170" spans="5:9" ht="13.8"/>
    <row r="171" spans="5:9" ht="13.8"/>
    <row r="172" spans="5:9" ht="13.8"/>
    <row r="173" spans="5:9" ht="13.8"/>
    <row r="174" spans="5:9" ht="13.8"/>
    <row r="175" spans="5:9" ht="13.8"/>
    <row r="176" spans="5:9" ht="13.8"/>
    <row r="177" ht="13.8"/>
    <row r="178" ht="13.8"/>
    <row r="179" ht="13.8"/>
    <row r="180" ht="13.8"/>
    <row r="181" ht="13.95" customHeight="1"/>
    <row r="182" ht="13.95" customHeight="1"/>
    <row r="183" ht="13.95" customHeight="1"/>
    <row r="184" ht="13.95" customHeight="1"/>
    <row r="185" ht="13.95" customHeight="1"/>
    <row r="186" ht="13.95" customHeight="1"/>
    <row r="187" ht="13.95" customHeight="1"/>
    <row r="188" ht="13.95" customHeight="1"/>
    <row r="189" ht="13.95" customHeight="1"/>
    <row r="190" ht="13.95" customHeight="1"/>
    <row r="191" ht="13.95" customHeight="1"/>
    <row r="192" ht="13.95" customHeight="1"/>
    <row r="193" ht="13.95" customHeight="1"/>
    <row r="194" ht="13.95" customHeight="1"/>
    <row r="195" ht="13.95" customHeight="1"/>
    <row r="196" ht="13.95" customHeight="1"/>
    <row r="197" ht="13.95" customHeight="1"/>
    <row r="198" ht="13.95" customHeight="1"/>
    <row r="199" ht="13.95" customHeight="1"/>
    <row r="200" ht="13.95" customHeight="1"/>
    <row r="201" ht="13.95" customHeight="1"/>
    <row r="202" ht="13.95" customHeight="1"/>
    <row r="203" ht="13.95" customHeight="1"/>
    <row r="204" ht="13.95" customHeight="1"/>
    <row r="205" ht="13.95" customHeight="1"/>
  </sheetData>
  <mergeCells count="1">
    <mergeCell ref="K4:L4"/>
  </mergeCells>
  <phoneticPr fontId="20" type="noConversion"/>
  <printOptions horizontalCentered="1"/>
  <pageMargins left="0.27559055118110237" right="0.19685039370078741" top="0.43307086614173229" bottom="0.35433070866141736" header="0.23622047244094491" footer="0"/>
  <pageSetup paperSize="9" scale="3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E478-D5A5-4B7F-B9CB-5B0CE3997B35}">
  <sheetPr codeName="Sheet3">
    <tabColor indexed="25"/>
    <pageSetUpPr fitToPage="1"/>
  </sheetPr>
  <dimension ref="A1:IR166"/>
  <sheetViews>
    <sheetView zoomScale="55" zoomScaleNormal="55" workbookViewId="0">
      <pane xSplit="7" ySplit="5" topLeftCell="H6" activePane="bottomRight" state="frozen"/>
      <selection pane="topRight" activeCell="F1" sqref="F1"/>
      <selection pane="bottomLeft" activeCell="A6" sqref="A6"/>
      <selection pane="bottomRight" activeCell="L30" sqref="L30"/>
    </sheetView>
  </sheetViews>
  <sheetFormatPr defaultColWidth="0" defaultRowHeight="0" customHeight="1" zeroHeight="1"/>
  <cols>
    <col min="1" max="1" width="7.5546875" style="3" customWidth="1"/>
    <col min="2" max="2" width="16.6640625" style="3" customWidth="1"/>
    <col min="3" max="3" width="48.109375" style="3" customWidth="1"/>
    <col min="4" max="4" width="25.6640625" style="30" bestFit="1" customWidth="1"/>
    <col min="5" max="5" width="35.5546875" style="30" bestFit="1" customWidth="1"/>
    <col min="6" max="6" width="16.77734375" style="31" customWidth="1"/>
    <col min="7" max="7" width="16.77734375" style="13" customWidth="1"/>
    <col min="8" max="8" width="18.109375" style="13" customWidth="1"/>
    <col min="9" max="9" width="18.21875" style="4" customWidth="1"/>
    <col min="10" max="11" width="19.109375" style="31" customWidth="1"/>
    <col min="12" max="16" width="17.33203125" style="11" customWidth="1"/>
    <col min="17" max="18" width="17.77734375" style="4" customWidth="1"/>
    <col min="19" max="19" width="17.77734375" style="11" customWidth="1"/>
    <col min="20" max="20" width="21" style="105" bestFit="1" customWidth="1"/>
    <col min="21" max="21" width="17.77734375" style="11" customWidth="1"/>
    <col min="23" max="23" width="17" style="11" customWidth="1"/>
    <col min="24" max="28" width="14.109375" style="3" hidden="1" customWidth="1"/>
    <col min="29" max="63" width="14.109375" style="3" hidden="1"/>
    <col min="64" max="250" width="0" style="3" hidden="1"/>
    <col min="251" max="251" width="7.5546875" style="3" customWidth="1"/>
    <col min="252" max="252" width="36.77734375" style="3" customWidth="1"/>
    <col min="253" max="254" width="0" style="3" hidden="1"/>
    <col min="255" max="255" width="16.6640625" style="3" customWidth="1"/>
    <col min="256" max="256" width="17.33203125" style="3" customWidth="1"/>
    <col min="257" max="257" width="15.5546875" style="3" customWidth="1"/>
    <col min="258" max="258" width="0" style="3" hidden="1"/>
    <col min="259" max="259" width="16.6640625" style="3" customWidth="1"/>
    <col min="260" max="260" width="17.44140625" style="3" customWidth="1"/>
    <col min="261" max="262" width="0" style="3" hidden="1"/>
    <col min="263" max="265" width="15.33203125" style="3" customWidth="1"/>
    <col min="266" max="266" width="17" style="3" customWidth="1"/>
    <col min="267" max="267" width="0" style="3" hidden="1"/>
    <col min="268" max="269" width="15.5546875" style="3" customWidth="1"/>
    <col min="270" max="270" width="13.6640625" style="3" customWidth="1"/>
    <col min="271" max="271" width="9" style="3" customWidth="1"/>
    <col min="272" max="272" width="49.88671875" style="3" customWidth="1"/>
    <col min="273" max="273" width="0" style="3" hidden="1"/>
    <col min="274" max="275" width="15.88671875" style="3" customWidth="1"/>
    <col min="276" max="276" width="14.5546875" style="3" customWidth="1"/>
    <col min="277" max="277" width="16.33203125" style="3" customWidth="1"/>
    <col min="278" max="278" width="18.109375" style="3" customWidth="1"/>
    <col min="279" max="279" width="14.109375" style="3" customWidth="1"/>
    <col min="280" max="506" width="0" style="3" hidden="1"/>
    <col min="507" max="507" width="7.5546875" style="3" customWidth="1"/>
    <col min="508" max="508" width="36.77734375" style="3" customWidth="1"/>
    <col min="509" max="510" width="0" style="3" hidden="1"/>
    <col min="511" max="511" width="16.6640625" style="3" customWidth="1"/>
    <col min="512" max="512" width="17.33203125" style="3" customWidth="1"/>
    <col min="513" max="513" width="15.5546875" style="3" customWidth="1"/>
    <col min="514" max="514" width="0" style="3" hidden="1"/>
    <col min="515" max="515" width="16.6640625" style="3" customWidth="1"/>
    <col min="516" max="516" width="17.44140625" style="3" customWidth="1"/>
    <col min="517" max="518" width="0" style="3" hidden="1"/>
    <col min="519" max="521" width="15.33203125" style="3" customWidth="1"/>
    <col min="522" max="522" width="17" style="3" customWidth="1"/>
    <col min="523" max="523" width="0" style="3" hidden="1"/>
    <col min="524" max="525" width="15.5546875" style="3" customWidth="1"/>
    <col min="526" max="526" width="13.6640625" style="3" customWidth="1"/>
    <col min="527" max="527" width="9" style="3" customWidth="1"/>
    <col min="528" max="528" width="49.88671875" style="3" customWidth="1"/>
    <col min="529" max="529" width="0" style="3" hidden="1"/>
    <col min="530" max="531" width="15.88671875" style="3" customWidth="1"/>
    <col min="532" max="532" width="14.5546875" style="3" customWidth="1"/>
    <col min="533" max="533" width="16.33203125" style="3" customWidth="1"/>
    <col min="534" max="534" width="18.109375" style="3" customWidth="1"/>
    <col min="535" max="535" width="14.109375" style="3" customWidth="1"/>
    <col min="536" max="762" width="0" style="3" hidden="1"/>
    <col min="763" max="763" width="7.5546875" style="3" customWidth="1"/>
    <col min="764" max="764" width="36.77734375" style="3" customWidth="1"/>
    <col min="765" max="766" width="0" style="3" hidden="1"/>
    <col min="767" max="767" width="16.6640625" style="3" customWidth="1"/>
    <col min="768" max="768" width="17.33203125" style="3" customWidth="1"/>
    <col min="769" max="769" width="15.5546875" style="3" customWidth="1"/>
    <col min="770" max="770" width="0" style="3" hidden="1"/>
    <col min="771" max="771" width="16.6640625" style="3" customWidth="1"/>
    <col min="772" max="772" width="17.44140625" style="3" customWidth="1"/>
    <col min="773" max="774" width="0" style="3" hidden="1"/>
    <col min="775" max="777" width="15.33203125" style="3" customWidth="1"/>
    <col min="778" max="778" width="17" style="3" customWidth="1"/>
    <col min="779" max="779" width="0" style="3" hidden="1"/>
    <col min="780" max="781" width="15.5546875" style="3" customWidth="1"/>
    <col min="782" max="782" width="13.6640625" style="3" customWidth="1"/>
    <col min="783" max="783" width="9" style="3" customWidth="1"/>
    <col min="784" max="784" width="49.88671875" style="3" customWidth="1"/>
    <col min="785" max="785" width="0" style="3" hidden="1"/>
    <col min="786" max="787" width="15.88671875" style="3" customWidth="1"/>
    <col min="788" max="788" width="14.5546875" style="3" customWidth="1"/>
    <col min="789" max="789" width="16.33203125" style="3" customWidth="1"/>
    <col min="790" max="790" width="18.109375" style="3" customWidth="1"/>
    <col min="791" max="791" width="14.109375" style="3" customWidth="1"/>
    <col min="792" max="1018" width="0" style="3" hidden="1"/>
    <col min="1019" max="1019" width="7.5546875" style="3" customWidth="1"/>
    <col min="1020" max="1020" width="36.77734375" style="3" customWidth="1"/>
    <col min="1021" max="1022" width="0" style="3" hidden="1"/>
    <col min="1023" max="1023" width="16.6640625" style="3" customWidth="1"/>
    <col min="1024" max="1024" width="17.33203125" style="3" customWidth="1"/>
    <col min="1025" max="1025" width="15.5546875" style="3" customWidth="1"/>
    <col min="1026" max="1026" width="0" style="3" hidden="1"/>
    <col min="1027" max="1027" width="16.6640625" style="3" customWidth="1"/>
    <col min="1028" max="1028" width="17.44140625" style="3" customWidth="1"/>
    <col min="1029" max="1030" width="0" style="3" hidden="1"/>
    <col min="1031" max="1033" width="15.33203125" style="3" customWidth="1"/>
    <col min="1034" max="1034" width="17" style="3" customWidth="1"/>
    <col min="1035" max="1035" width="0" style="3" hidden="1"/>
    <col min="1036" max="1037" width="15.5546875" style="3" customWidth="1"/>
    <col min="1038" max="1038" width="13.6640625" style="3" customWidth="1"/>
    <col min="1039" max="1039" width="9" style="3" customWidth="1"/>
    <col min="1040" max="1040" width="49.88671875" style="3" customWidth="1"/>
    <col min="1041" max="1041" width="0" style="3" hidden="1"/>
    <col min="1042" max="1043" width="15.88671875" style="3" customWidth="1"/>
    <col min="1044" max="1044" width="14.5546875" style="3" customWidth="1"/>
    <col min="1045" max="1045" width="16.33203125" style="3" customWidth="1"/>
    <col min="1046" max="1046" width="18.109375" style="3" customWidth="1"/>
    <col min="1047" max="1047" width="14.109375" style="3" customWidth="1"/>
    <col min="1048" max="1274" width="0" style="3" hidden="1"/>
    <col min="1275" max="1275" width="7.5546875" style="3" customWidth="1"/>
    <col min="1276" max="1276" width="36.77734375" style="3" customWidth="1"/>
    <col min="1277" max="1278" width="0" style="3" hidden="1"/>
    <col min="1279" max="1279" width="16.6640625" style="3" customWidth="1"/>
    <col min="1280" max="1280" width="17.33203125" style="3" customWidth="1"/>
    <col min="1281" max="1281" width="15.5546875" style="3" customWidth="1"/>
    <col min="1282" max="1282" width="0" style="3" hidden="1"/>
    <col min="1283" max="1283" width="16.6640625" style="3" customWidth="1"/>
    <col min="1284" max="1284" width="17.44140625" style="3" customWidth="1"/>
    <col min="1285" max="1286" width="0" style="3" hidden="1"/>
    <col min="1287" max="1289" width="15.33203125" style="3" customWidth="1"/>
    <col min="1290" max="1290" width="17" style="3" customWidth="1"/>
    <col min="1291" max="1291" width="0" style="3" hidden="1"/>
    <col min="1292" max="1293" width="15.5546875" style="3" customWidth="1"/>
    <col min="1294" max="1294" width="13.6640625" style="3" customWidth="1"/>
    <col min="1295" max="1295" width="9" style="3" customWidth="1"/>
    <col min="1296" max="1296" width="49.88671875" style="3" customWidth="1"/>
    <col min="1297" max="1297" width="0" style="3" hidden="1"/>
    <col min="1298" max="1299" width="15.88671875" style="3" customWidth="1"/>
    <col min="1300" max="1300" width="14.5546875" style="3" customWidth="1"/>
    <col min="1301" max="1301" width="16.33203125" style="3" customWidth="1"/>
    <col min="1302" max="1302" width="18.109375" style="3" customWidth="1"/>
    <col min="1303" max="1303" width="14.109375" style="3" customWidth="1"/>
    <col min="1304" max="1530" width="0" style="3" hidden="1"/>
    <col min="1531" max="1531" width="7.5546875" style="3" customWidth="1"/>
    <col min="1532" max="1532" width="36.77734375" style="3" customWidth="1"/>
    <col min="1533" max="1534" width="0" style="3" hidden="1"/>
    <col min="1535" max="1535" width="16.6640625" style="3" customWidth="1"/>
    <col min="1536" max="1536" width="17.33203125" style="3" customWidth="1"/>
    <col min="1537" max="1537" width="15.5546875" style="3" customWidth="1"/>
    <col min="1538" max="1538" width="0" style="3" hidden="1"/>
    <col min="1539" max="1539" width="16.6640625" style="3" customWidth="1"/>
    <col min="1540" max="1540" width="17.44140625" style="3" customWidth="1"/>
    <col min="1541" max="1542" width="0" style="3" hidden="1"/>
    <col min="1543" max="1545" width="15.33203125" style="3" customWidth="1"/>
    <col min="1546" max="1546" width="17" style="3" customWidth="1"/>
    <col min="1547" max="1547" width="0" style="3" hidden="1"/>
    <col min="1548" max="1549" width="15.5546875" style="3" customWidth="1"/>
    <col min="1550" max="1550" width="13.6640625" style="3" customWidth="1"/>
    <col min="1551" max="1551" width="9" style="3" customWidth="1"/>
    <col min="1552" max="1552" width="49.88671875" style="3" customWidth="1"/>
    <col min="1553" max="1553" width="0" style="3" hidden="1"/>
    <col min="1554" max="1555" width="15.88671875" style="3" customWidth="1"/>
    <col min="1556" max="1556" width="14.5546875" style="3" customWidth="1"/>
    <col min="1557" max="1557" width="16.33203125" style="3" customWidth="1"/>
    <col min="1558" max="1558" width="18.109375" style="3" customWidth="1"/>
    <col min="1559" max="1559" width="14.109375" style="3" customWidth="1"/>
    <col min="1560" max="1786" width="0" style="3" hidden="1"/>
    <col min="1787" max="1787" width="7.5546875" style="3" customWidth="1"/>
    <col min="1788" max="1788" width="36.77734375" style="3" customWidth="1"/>
    <col min="1789" max="1790" width="0" style="3" hidden="1"/>
    <col min="1791" max="1791" width="16.6640625" style="3" customWidth="1"/>
    <col min="1792" max="1792" width="17.33203125" style="3" customWidth="1"/>
    <col min="1793" max="1793" width="15.5546875" style="3" customWidth="1"/>
    <col min="1794" max="1794" width="0" style="3" hidden="1"/>
    <col min="1795" max="1795" width="16.6640625" style="3" customWidth="1"/>
    <col min="1796" max="1796" width="17.44140625" style="3" customWidth="1"/>
    <col min="1797" max="1798" width="0" style="3" hidden="1"/>
    <col min="1799" max="1801" width="15.33203125" style="3" customWidth="1"/>
    <col min="1802" max="1802" width="17" style="3" customWidth="1"/>
    <col min="1803" max="1803" width="0" style="3" hidden="1"/>
    <col min="1804" max="1805" width="15.5546875" style="3" customWidth="1"/>
    <col min="1806" max="1806" width="13.6640625" style="3" customWidth="1"/>
    <col min="1807" max="1807" width="9" style="3" customWidth="1"/>
    <col min="1808" max="1808" width="49.88671875" style="3" customWidth="1"/>
    <col min="1809" max="1809" width="0" style="3" hidden="1"/>
    <col min="1810" max="1811" width="15.88671875" style="3" customWidth="1"/>
    <col min="1812" max="1812" width="14.5546875" style="3" customWidth="1"/>
    <col min="1813" max="1813" width="16.33203125" style="3" customWidth="1"/>
    <col min="1814" max="1814" width="18.109375" style="3" customWidth="1"/>
    <col min="1815" max="1815" width="14.109375" style="3" customWidth="1"/>
    <col min="1816" max="2042" width="0" style="3" hidden="1"/>
    <col min="2043" max="2043" width="7.5546875" style="3" customWidth="1"/>
    <col min="2044" max="2044" width="36.77734375" style="3" customWidth="1"/>
    <col min="2045" max="2046" width="0" style="3" hidden="1"/>
    <col min="2047" max="2047" width="16.6640625" style="3" customWidth="1"/>
    <col min="2048" max="2048" width="17.33203125" style="3" customWidth="1"/>
    <col min="2049" max="2049" width="15.5546875" style="3" customWidth="1"/>
    <col min="2050" max="2050" width="0" style="3" hidden="1"/>
    <col min="2051" max="2051" width="16.6640625" style="3" customWidth="1"/>
    <col min="2052" max="2052" width="17.44140625" style="3" customWidth="1"/>
    <col min="2053" max="2054" width="0" style="3" hidden="1"/>
    <col min="2055" max="2057" width="15.33203125" style="3" customWidth="1"/>
    <col min="2058" max="2058" width="17" style="3" customWidth="1"/>
    <col min="2059" max="2059" width="0" style="3" hidden="1"/>
    <col min="2060" max="2061" width="15.5546875" style="3" customWidth="1"/>
    <col min="2062" max="2062" width="13.6640625" style="3" customWidth="1"/>
    <col min="2063" max="2063" width="9" style="3" customWidth="1"/>
    <col min="2064" max="2064" width="49.88671875" style="3" customWidth="1"/>
    <col min="2065" max="2065" width="0" style="3" hidden="1"/>
    <col min="2066" max="2067" width="15.88671875" style="3" customWidth="1"/>
    <col min="2068" max="2068" width="14.5546875" style="3" customWidth="1"/>
    <col min="2069" max="2069" width="16.33203125" style="3" customWidth="1"/>
    <col min="2070" max="2070" width="18.109375" style="3" customWidth="1"/>
    <col min="2071" max="2071" width="14.109375" style="3" customWidth="1"/>
    <col min="2072" max="2298" width="0" style="3" hidden="1"/>
    <col min="2299" max="2299" width="7.5546875" style="3" customWidth="1"/>
    <col min="2300" max="2300" width="36.77734375" style="3" customWidth="1"/>
    <col min="2301" max="2302" width="0" style="3" hidden="1"/>
    <col min="2303" max="2303" width="16.6640625" style="3" customWidth="1"/>
    <col min="2304" max="2304" width="17.33203125" style="3" customWidth="1"/>
    <col min="2305" max="2305" width="15.5546875" style="3" customWidth="1"/>
    <col min="2306" max="2306" width="0" style="3" hidden="1"/>
    <col min="2307" max="2307" width="16.6640625" style="3" customWidth="1"/>
    <col min="2308" max="2308" width="17.44140625" style="3" customWidth="1"/>
    <col min="2309" max="2310" width="0" style="3" hidden="1"/>
    <col min="2311" max="2313" width="15.33203125" style="3" customWidth="1"/>
    <col min="2314" max="2314" width="17" style="3" customWidth="1"/>
    <col min="2315" max="2315" width="0" style="3" hidden="1"/>
    <col min="2316" max="2317" width="15.5546875" style="3" customWidth="1"/>
    <col min="2318" max="2318" width="13.6640625" style="3" customWidth="1"/>
    <col min="2319" max="2319" width="9" style="3" customWidth="1"/>
    <col min="2320" max="2320" width="49.88671875" style="3" customWidth="1"/>
    <col min="2321" max="2321" width="0" style="3" hidden="1"/>
    <col min="2322" max="2323" width="15.88671875" style="3" customWidth="1"/>
    <col min="2324" max="2324" width="14.5546875" style="3" customWidth="1"/>
    <col min="2325" max="2325" width="16.33203125" style="3" customWidth="1"/>
    <col min="2326" max="2326" width="18.109375" style="3" customWidth="1"/>
    <col min="2327" max="2327" width="14.109375" style="3" customWidth="1"/>
    <col min="2328" max="2554" width="0" style="3" hidden="1"/>
    <col min="2555" max="2555" width="7.5546875" style="3" customWidth="1"/>
    <col min="2556" max="2556" width="36.77734375" style="3" customWidth="1"/>
    <col min="2557" max="2558" width="0" style="3" hidden="1"/>
    <col min="2559" max="2559" width="16.6640625" style="3" customWidth="1"/>
    <col min="2560" max="2560" width="17.33203125" style="3" customWidth="1"/>
    <col min="2561" max="2561" width="15.5546875" style="3" customWidth="1"/>
    <col min="2562" max="2562" width="0" style="3" hidden="1"/>
    <col min="2563" max="2563" width="16.6640625" style="3" customWidth="1"/>
    <col min="2564" max="2564" width="17.44140625" style="3" customWidth="1"/>
    <col min="2565" max="2566" width="0" style="3" hidden="1"/>
    <col min="2567" max="2569" width="15.33203125" style="3" customWidth="1"/>
    <col min="2570" max="2570" width="17" style="3" customWidth="1"/>
    <col min="2571" max="2571" width="0" style="3" hidden="1"/>
    <col min="2572" max="2573" width="15.5546875" style="3" customWidth="1"/>
    <col min="2574" max="2574" width="13.6640625" style="3" customWidth="1"/>
    <col min="2575" max="2575" width="9" style="3" customWidth="1"/>
    <col min="2576" max="2576" width="49.88671875" style="3" customWidth="1"/>
    <col min="2577" max="2577" width="0" style="3" hidden="1"/>
    <col min="2578" max="2579" width="15.88671875" style="3" customWidth="1"/>
    <col min="2580" max="2580" width="14.5546875" style="3" customWidth="1"/>
    <col min="2581" max="2581" width="16.33203125" style="3" customWidth="1"/>
    <col min="2582" max="2582" width="18.109375" style="3" customWidth="1"/>
    <col min="2583" max="2583" width="14.109375" style="3" customWidth="1"/>
    <col min="2584" max="2810" width="0" style="3" hidden="1"/>
    <col min="2811" max="2811" width="7.5546875" style="3" customWidth="1"/>
    <col min="2812" max="2812" width="36.77734375" style="3" customWidth="1"/>
    <col min="2813" max="2814" width="0" style="3" hidden="1"/>
    <col min="2815" max="2815" width="16.6640625" style="3" customWidth="1"/>
    <col min="2816" max="2816" width="17.33203125" style="3" customWidth="1"/>
    <col min="2817" max="2817" width="15.5546875" style="3" customWidth="1"/>
    <col min="2818" max="2818" width="0" style="3" hidden="1"/>
    <col min="2819" max="2819" width="16.6640625" style="3" customWidth="1"/>
    <col min="2820" max="2820" width="17.44140625" style="3" customWidth="1"/>
    <col min="2821" max="2822" width="0" style="3" hidden="1"/>
    <col min="2823" max="2825" width="15.33203125" style="3" customWidth="1"/>
    <col min="2826" max="2826" width="17" style="3" customWidth="1"/>
    <col min="2827" max="2827" width="0" style="3" hidden="1"/>
    <col min="2828" max="2829" width="15.5546875" style="3" customWidth="1"/>
    <col min="2830" max="2830" width="13.6640625" style="3" customWidth="1"/>
    <col min="2831" max="2831" width="9" style="3" customWidth="1"/>
    <col min="2832" max="2832" width="49.88671875" style="3" customWidth="1"/>
    <col min="2833" max="2833" width="0" style="3" hidden="1"/>
    <col min="2834" max="2835" width="15.88671875" style="3" customWidth="1"/>
    <col min="2836" max="2836" width="14.5546875" style="3" customWidth="1"/>
    <col min="2837" max="2837" width="16.33203125" style="3" customWidth="1"/>
    <col min="2838" max="2838" width="18.109375" style="3" customWidth="1"/>
    <col min="2839" max="2839" width="14.109375" style="3" customWidth="1"/>
    <col min="2840" max="3066" width="0" style="3" hidden="1"/>
    <col min="3067" max="3067" width="7.5546875" style="3" customWidth="1"/>
    <col min="3068" max="3068" width="36.77734375" style="3" customWidth="1"/>
    <col min="3069" max="3070" width="0" style="3" hidden="1"/>
    <col min="3071" max="3071" width="16.6640625" style="3" customWidth="1"/>
    <col min="3072" max="3072" width="17.33203125" style="3" customWidth="1"/>
    <col min="3073" max="3073" width="15.5546875" style="3" customWidth="1"/>
    <col min="3074" max="3074" width="0" style="3" hidden="1"/>
    <col min="3075" max="3075" width="16.6640625" style="3" customWidth="1"/>
    <col min="3076" max="3076" width="17.44140625" style="3" customWidth="1"/>
    <col min="3077" max="3078" width="0" style="3" hidden="1"/>
    <col min="3079" max="3081" width="15.33203125" style="3" customWidth="1"/>
    <col min="3082" max="3082" width="17" style="3" customWidth="1"/>
    <col min="3083" max="3083" width="0" style="3" hidden="1"/>
    <col min="3084" max="3085" width="15.5546875" style="3" customWidth="1"/>
    <col min="3086" max="3086" width="13.6640625" style="3" customWidth="1"/>
    <col min="3087" max="3087" width="9" style="3" customWidth="1"/>
    <col min="3088" max="3088" width="49.88671875" style="3" customWidth="1"/>
    <col min="3089" max="3089" width="0" style="3" hidden="1"/>
    <col min="3090" max="3091" width="15.88671875" style="3" customWidth="1"/>
    <col min="3092" max="3092" width="14.5546875" style="3" customWidth="1"/>
    <col min="3093" max="3093" width="16.33203125" style="3" customWidth="1"/>
    <col min="3094" max="3094" width="18.109375" style="3" customWidth="1"/>
    <col min="3095" max="3095" width="14.109375" style="3" customWidth="1"/>
    <col min="3096" max="3322" width="0" style="3" hidden="1"/>
    <col min="3323" max="3323" width="7.5546875" style="3" customWidth="1"/>
    <col min="3324" max="3324" width="36.77734375" style="3" customWidth="1"/>
    <col min="3325" max="3326" width="0" style="3" hidden="1"/>
    <col min="3327" max="3327" width="16.6640625" style="3" customWidth="1"/>
    <col min="3328" max="3328" width="17.33203125" style="3" customWidth="1"/>
    <col min="3329" max="3329" width="15.5546875" style="3" customWidth="1"/>
    <col min="3330" max="3330" width="0" style="3" hidden="1"/>
    <col min="3331" max="3331" width="16.6640625" style="3" customWidth="1"/>
    <col min="3332" max="3332" width="17.44140625" style="3" customWidth="1"/>
    <col min="3333" max="3334" width="0" style="3" hidden="1"/>
    <col min="3335" max="3337" width="15.33203125" style="3" customWidth="1"/>
    <col min="3338" max="3338" width="17" style="3" customWidth="1"/>
    <col min="3339" max="3339" width="0" style="3" hidden="1"/>
    <col min="3340" max="3341" width="15.5546875" style="3" customWidth="1"/>
    <col min="3342" max="3342" width="13.6640625" style="3" customWidth="1"/>
    <col min="3343" max="3343" width="9" style="3" customWidth="1"/>
    <col min="3344" max="3344" width="49.88671875" style="3" customWidth="1"/>
    <col min="3345" max="3345" width="0" style="3" hidden="1"/>
    <col min="3346" max="3347" width="15.88671875" style="3" customWidth="1"/>
    <col min="3348" max="3348" width="14.5546875" style="3" customWidth="1"/>
    <col min="3349" max="3349" width="16.33203125" style="3" customWidth="1"/>
    <col min="3350" max="3350" width="18.109375" style="3" customWidth="1"/>
    <col min="3351" max="3351" width="14.109375" style="3" customWidth="1"/>
    <col min="3352" max="3578" width="0" style="3" hidden="1"/>
    <col min="3579" max="3579" width="7.5546875" style="3" customWidth="1"/>
    <col min="3580" max="3580" width="36.77734375" style="3" customWidth="1"/>
    <col min="3581" max="3582" width="0" style="3" hidden="1"/>
    <col min="3583" max="3583" width="16.6640625" style="3" customWidth="1"/>
    <col min="3584" max="3584" width="17.33203125" style="3" customWidth="1"/>
    <col min="3585" max="3585" width="15.5546875" style="3" customWidth="1"/>
    <col min="3586" max="3586" width="0" style="3" hidden="1"/>
    <col min="3587" max="3587" width="16.6640625" style="3" customWidth="1"/>
    <col min="3588" max="3588" width="17.44140625" style="3" customWidth="1"/>
    <col min="3589" max="3590" width="0" style="3" hidden="1"/>
    <col min="3591" max="3593" width="15.33203125" style="3" customWidth="1"/>
    <col min="3594" max="3594" width="17" style="3" customWidth="1"/>
    <col min="3595" max="3595" width="0" style="3" hidden="1"/>
    <col min="3596" max="3597" width="15.5546875" style="3" customWidth="1"/>
    <col min="3598" max="3598" width="13.6640625" style="3" customWidth="1"/>
    <col min="3599" max="3599" width="9" style="3" customWidth="1"/>
    <col min="3600" max="3600" width="49.88671875" style="3" customWidth="1"/>
    <col min="3601" max="3601" width="0" style="3" hidden="1"/>
    <col min="3602" max="3603" width="15.88671875" style="3" customWidth="1"/>
    <col min="3604" max="3604" width="14.5546875" style="3" customWidth="1"/>
    <col min="3605" max="3605" width="16.33203125" style="3" customWidth="1"/>
    <col min="3606" max="3606" width="18.109375" style="3" customWidth="1"/>
    <col min="3607" max="3607" width="14.109375" style="3" customWidth="1"/>
    <col min="3608" max="3834" width="0" style="3" hidden="1"/>
    <col min="3835" max="3835" width="7.5546875" style="3" customWidth="1"/>
    <col min="3836" max="3836" width="36.77734375" style="3" customWidth="1"/>
    <col min="3837" max="3838" width="0" style="3" hidden="1"/>
    <col min="3839" max="3839" width="16.6640625" style="3" customWidth="1"/>
    <col min="3840" max="3840" width="17.33203125" style="3" customWidth="1"/>
    <col min="3841" max="3841" width="15.5546875" style="3" customWidth="1"/>
    <col min="3842" max="3842" width="0" style="3" hidden="1"/>
    <col min="3843" max="3843" width="16.6640625" style="3" customWidth="1"/>
    <col min="3844" max="3844" width="17.44140625" style="3" customWidth="1"/>
    <col min="3845" max="3846" width="0" style="3" hidden="1"/>
    <col min="3847" max="3849" width="15.33203125" style="3" customWidth="1"/>
    <col min="3850" max="3850" width="17" style="3" customWidth="1"/>
    <col min="3851" max="3851" width="0" style="3" hidden="1"/>
    <col min="3852" max="3853" width="15.5546875" style="3" customWidth="1"/>
    <col min="3854" max="3854" width="13.6640625" style="3" customWidth="1"/>
    <col min="3855" max="3855" width="9" style="3" customWidth="1"/>
    <col min="3856" max="3856" width="49.88671875" style="3" customWidth="1"/>
    <col min="3857" max="3857" width="0" style="3" hidden="1"/>
    <col min="3858" max="3859" width="15.88671875" style="3" customWidth="1"/>
    <col min="3860" max="3860" width="14.5546875" style="3" customWidth="1"/>
    <col min="3861" max="3861" width="16.33203125" style="3" customWidth="1"/>
    <col min="3862" max="3862" width="18.109375" style="3" customWidth="1"/>
    <col min="3863" max="3863" width="14.109375" style="3" customWidth="1"/>
    <col min="3864" max="4090" width="0" style="3" hidden="1"/>
    <col min="4091" max="4091" width="7.5546875" style="3" customWidth="1"/>
    <col min="4092" max="4092" width="36.77734375" style="3" customWidth="1"/>
    <col min="4093" max="4094" width="0" style="3" hidden="1"/>
    <col min="4095" max="4095" width="16.6640625" style="3" customWidth="1"/>
    <col min="4096" max="4096" width="17.33203125" style="3" customWidth="1"/>
    <col min="4097" max="4097" width="15.5546875" style="3" customWidth="1"/>
    <col min="4098" max="4098" width="0" style="3" hidden="1"/>
    <col min="4099" max="4099" width="16.6640625" style="3" customWidth="1"/>
    <col min="4100" max="4100" width="17.44140625" style="3" customWidth="1"/>
    <col min="4101" max="4102" width="0" style="3" hidden="1"/>
    <col min="4103" max="4105" width="15.33203125" style="3" customWidth="1"/>
    <col min="4106" max="4106" width="17" style="3" customWidth="1"/>
    <col min="4107" max="4107" width="0" style="3" hidden="1"/>
    <col min="4108" max="4109" width="15.5546875" style="3" customWidth="1"/>
    <col min="4110" max="4110" width="13.6640625" style="3" customWidth="1"/>
    <col min="4111" max="4111" width="9" style="3" customWidth="1"/>
    <col min="4112" max="4112" width="49.88671875" style="3" customWidth="1"/>
    <col min="4113" max="4113" width="0" style="3" hidden="1"/>
    <col min="4114" max="4115" width="15.88671875" style="3" customWidth="1"/>
    <col min="4116" max="4116" width="14.5546875" style="3" customWidth="1"/>
    <col min="4117" max="4117" width="16.33203125" style="3" customWidth="1"/>
    <col min="4118" max="4118" width="18.109375" style="3" customWidth="1"/>
    <col min="4119" max="4119" width="14.109375" style="3" customWidth="1"/>
    <col min="4120" max="4346" width="0" style="3" hidden="1"/>
    <col min="4347" max="4347" width="7.5546875" style="3" customWidth="1"/>
    <col min="4348" max="4348" width="36.77734375" style="3" customWidth="1"/>
    <col min="4349" max="4350" width="0" style="3" hidden="1"/>
    <col min="4351" max="4351" width="16.6640625" style="3" customWidth="1"/>
    <col min="4352" max="4352" width="17.33203125" style="3" customWidth="1"/>
    <col min="4353" max="4353" width="15.5546875" style="3" customWidth="1"/>
    <col min="4354" max="4354" width="0" style="3" hidden="1"/>
    <col min="4355" max="4355" width="16.6640625" style="3" customWidth="1"/>
    <col min="4356" max="4356" width="17.44140625" style="3" customWidth="1"/>
    <col min="4357" max="4358" width="0" style="3" hidden="1"/>
    <col min="4359" max="4361" width="15.33203125" style="3" customWidth="1"/>
    <col min="4362" max="4362" width="17" style="3" customWidth="1"/>
    <col min="4363" max="4363" width="0" style="3" hidden="1"/>
    <col min="4364" max="4365" width="15.5546875" style="3" customWidth="1"/>
    <col min="4366" max="4366" width="13.6640625" style="3" customWidth="1"/>
    <col min="4367" max="4367" width="9" style="3" customWidth="1"/>
    <col min="4368" max="4368" width="49.88671875" style="3" customWidth="1"/>
    <col min="4369" max="4369" width="0" style="3" hidden="1"/>
    <col min="4370" max="4371" width="15.88671875" style="3" customWidth="1"/>
    <col min="4372" max="4372" width="14.5546875" style="3" customWidth="1"/>
    <col min="4373" max="4373" width="16.33203125" style="3" customWidth="1"/>
    <col min="4374" max="4374" width="18.109375" style="3" customWidth="1"/>
    <col min="4375" max="4375" width="14.109375" style="3" customWidth="1"/>
    <col min="4376" max="4602" width="0" style="3" hidden="1"/>
    <col min="4603" max="4603" width="7.5546875" style="3" customWidth="1"/>
    <col min="4604" max="4604" width="36.77734375" style="3" customWidth="1"/>
    <col min="4605" max="4606" width="0" style="3" hidden="1"/>
    <col min="4607" max="4607" width="16.6640625" style="3" customWidth="1"/>
    <col min="4608" max="4608" width="17.33203125" style="3" customWidth="1"/>
    <col min="4609" max="4609" width="15.5546875" style="3" customWidth="1"/>
    <col min="4610" max="4610" width="0" style="3" hidden="1"/>
    <col min="4611" max="4611" width="16.6640625" style="3" customWidth="1"/>
    <col min="4612" max="4612" width="17.44140625" style="3" customWidth="1"/>
    <col min="4613" max="4614" width="0" style="3" hidden="1"/>
    <col min="4615" max="4617" width="15.33203125" style="3" customWidth="1"/>
    <col min="4618" max="4618" width="17" style="3" customWidth="1"/>
    <col min="4619" max="4619" width="0" style="3" hidden="1"/>
    <col min="4620" max="4621" width="15.5546875" style="3" customWidth="1"/>
    <col min="4622" max="4622" width="13.6640625" style="3" customWidth="1"/>
    <col min="4623" max="4623" width="9" style="3" customWidth="1"/>
    <col min="4624" max="4624" width="49.88671875" style="3" customWidth="1"/>
    <col min="4625" max="4625" width="0" style="3" hidden="1"/>
    <col min="4626" max="4627" width="15.88671875" style="3" customWidth="1"/>
    <col min="4628" max="4628" width="14.5546875" style="3" customWidth="1"/>
    <col min="4629" max="4629" width="16.33203125" style="3" customWidth="1"/>
    <col min="4630" max="4630" width="18.109375" style="3" customWidth="1"/>
    <col min="4631" max="4631" width="14.109375" style="3" customWidth="1"/>
    <col min="4632" max="4858" width="0" style="3" hidden="1"/>
    <col min="4859" max="4859" width="7.5546875" style="3" customWidth="1"/>
    <col min="4860" max="4860" width="36.77734375" style="3" customWidth="1"/>
    <col min="4861" max="4862" width="0" style="3" hidden="1"/>
    <col min="4863" max="4863" width="16.6640625" style="3" customWidth="1"/>
    <col min="4864" max="4864" width="17.33203125" style="3" customWidth="1"/>
    <col min="4865" max="4865" width="15.5546875" style="3" customWidth="1"/>
    <col min="4866" max="4866" width="0" style="3" hidden="1"/>
    <col min="4867" max="4867" width="16.6640625" style="3" customWidth="1"/>
    <col min="4868" max="4868" width="17.44140625" style="3" customWidth="1"/>
    <col min="4869" max="4870" width="0" style="3" hidden="1"/>
    <col min="4871" max="4873" width="15.33203125" style="3" customWidth="1"/>
    <col min="4874" max="4874" width="17" style="3" customWidth="1"/>
    <col min="4875" max="4875" width="0" style="3" hidden="1"/>
    <col min="4876" max="4877" width="15.5546875" style="3" customWidth="1"/>
    <col min="4878" max="4878" width="13.6640625" style="3" customWidth="1"/>
    <col min="4879" max="4879" width="9" style="3" customWidth="1"/>
    <col min="4880" max="4880" width="49.88671875" style="3" customWidth="1"/>
    <col min="4881" max="4881" width="0" style="3" hidden="1"/>
    <col min="4882" max="4883" width="15.88671875" style="3" customWidth="1"/>
    <col min="4884" max="4884" width="14.5546875" style="3" customWidth="1"/>
    <col min="4885" max="4885" width="16.33203125" style="3" customWidth="1"/>
    <col min="4886" max="4886" width="18.109375" style="3" customWidth="1"/>
    <col min="4887" max="4887" width="14.109375" style="3" customWidth="1"/>
    <col min="4888" max="5114" width="0" style="3" hidden="1"/>
    <col min="5115" max="5115" width="7.5546875" style="3" customWidth="1"/>
    <col min="5116" max="5116" width="36.77734375" style="3" customWidth="1"/>
    <col min="5117" max="5118" width="0" style="3" hidden="1"/>
    <col min="5119" max="5119" width="16.6640625" style="3" customWidth="1"/>
    <col min="5120" max="5120" width="17.33203125" style="3" customWidth="1"/>
    <col min="5121" max="5121" width="15.5546875" style="3" customWidth="1"/>
    <col min="5122" max="5122" width="0" style="3" hidden="1"/>
    <col min="5123" max="5123" width="16.6640625" style="3" customWidth="1"/>
    <col min="5124" max="5124" width="17.44140625" style="3" customWidth="1"/>
    <col min="5125" max="5126" width="0" style="3" hidden="1"/>
    <col min="5127" max="5129" width="15.33203125" style="3" customWidth="1"/>
    <col min="5130" max="5130" width="17" style="3" customWidth="1"/>
    <col min="5131" max="5131" width="0" style="3" hidden="1"/>
    <col min="5132" max="5133" width="15.5546875" style="3" customWidth="1"/>
    <col min="5134" max="5134" width="13.6640625" style="3" customWidth="1"/>
    <col min="5135" max="5135" width="9" style="3" customWidth="1"/>
    <col min="5136" max="5136" width="49.88671875" style="3" customWidth="1"/>
    <col min="5137" max="5137" width="0" style="3" hidden="1"/>
    <col min="5138" max="5139" width="15.88671875" style="3" customWidth="1"/>
    <col min="5140" max="5140" width="14.5546875" style="3" customWidth="1"/>
    <col min="5141" max="5141" width="16.33203125" style="3" customWidth="1"/>
    <col min="5142" max="5142" width="18.109375" style="3" customWidth="1"/>
    <col min="5143" max="5143" width="14.109375" style="3" customWidth="1"/>
    <col min="5144" max="5370" width="0" style="3" hidden="1"/>
    <col min="5371" max="5371" width="7.5546875" style="3" customWidth="1"/>
    <col min="5372" max="5372" width="36.77734375" style="3" customWidth="1"/>
    <col min="5373" max="5374" width="0" style="3" hidden="1"/>
    <col min="5375" max="5375" width="16.6640625" style="3" customWidth="1"/>
    <col min="5376" max="5376" width="17.33203125" style="3" customWidth="1"/>
    <col min="5377" max="5377" width="15.5546875" style="3" customWidth="1"/>
    <col min="5378" max="5378" width="0" style="3" hidden="1"/>
    <col min="5379" max="5379" width="16.6640625" style="3" customWidth="1"/>
    <col min="5380" max="5380" width="17.44140625" style="3" customWidth="1"/>
    <col min="5381" max="5382" width="0" style="3" hidden="1"/>
    <col min="5383" max="5385" width="15.33203125" style="3" customWidth="1"/>
    <col min="5386" max="5386" width="17" style="3" customWidth="1"/>
    <col min="5387" max="5387" width="0" style="3" hidden="1"/>
    <col min="5388" max="5389" width="15.5546875" style="3" customWidth="1"/>
    <col min="5390" max="5390" width="13.6640625" style="3" customWidth="1"/>
    <col min="5391" max="5391" width="9" style="3" customWidth="1"/>
    <col min="5392" max="5392" width="49.88671875" style="3" customWidth="1"/>
    <col min="5393" max="5393" width="0" style="3" hidden="1"/>
    <col min="5394" max="5395" width="15.88671875" style="3" customWidth="1"/>
    <col min="5396" max="5396" width="14.5546875" style="3" customWidth="1"/>
    <col min="5397" max="5397" width="16.33203125" style="3" customWidth="1"/>
    <col min="5398" max="5398" width="18.109375" style="3" customWidth="1"/>
    <col min="5399" max="5399" width="14.109375" style="3" customWidth="1"/>
    <col min="5400" max="5626" width="0" style="3" hidden="1"/>
    <col min="5627" max="5627" width="7.5546875" style="3" customWidth="1"/>
    <col min="5628" max="5628" width="36.77734375" style="3" customWidth="1"/>
    <col min="5629" max="5630" width="0" style="3" hidden="1"/>
    <col min="5631" max="5631" width="16.6640625" style="3" customWidth="1"/>
    <col min="5632" max="5632" width="17.33203125" style="3" customWidth="1"/>
    <col min="5633" max="5633" width="15.5546875" style="3" customWidth="1"/>
    <col min="5634" max="5634" width="0" style="3" hidden="1"/>
    <col min="5635" max="5635" width="16.6640625" style="3" customWidth="1"/>
    <col min="5636" max="5636" width="17.44140625" style="3" customWidth="1"/>
    <col min="5637" max="5638" width="0" style="3" hidden="1"/>
    <col min="5639" max="5641" width="15.33203125" style="3" customWidth="1"/>
    <col min="5642" max="5642" width="17" style="3" customWidth="1"/>
    <col min="5643" max="5643" width="0" style="3" hidden="1"/>
    <col min="5644" max="5645" width="15.5546875" style="3" customWidth="1"/>
    <col min="5646" max="5646" width="13.6640625" style="3" customWidth="1"/>
    <col min="5647" max="5647" width="9" style="3" customWidth="1"/>
    <col min="5648" max="5648" width="49.88671875" style="3" customWidth="1"/>
    <col min="5649" max="5649" width="0" style="3" hidden="1"/>
    <col min="5650" max="5651" width="15.88671875" style="3" customWidth="1"/>
    <col min="5652" max="5652" width="14.5546875" style="3" customWidth="1"/>
    <col min="5653" max="5653" width="16.33203125" style="3" customWidth="1"/>
    <col min="5654" max="5654" width="18.109375" style="3" customWidth="1"/>
    <col min="5655" max="5655" width="14.109375" style="3" customWidth="1"/>
    <col min="5656" max="5882" width="0" style="3" hidden="1"/>
    <col min="5883" max="5883" width="7.5546875" style="3" customWidth="1"/>
    <col min="5884" max="5884" width="36.77734375" style="3" customWidth="1"/>
    <col min="5885" max="5886" width="0" style="3" hidden="1"/>
    <col min="5887" max="5887" width="16.6640625" style="3" customWidth="1"/>
    <col min="5888" max="5888" width="17.33203125" style="3" customWidth="1"/>
    <col min="5889" max="5889" width="15.5546875" style="3" customWidth="1"/>
    <col min="5890" max="5890" width="0" style="3" hidden="1"/>
    <col min="5891" max="5891" width="16.6640625" style="3" customWidth="1"/>
    <col min="5892" max="5892" width="17.44140625" style="3" customWidth="1"/>
    <col min="5893" max="5894" width="0" style="3" hidden="1"/>
    <col min="5895" max="5897" width="15.33203125" style="3" customWidth="1"/>
    <col min="5898" max="5898" width="17" style="3" customWidth="1"/>
    <col min="5899" max="5899" width="0" style="3" hidden="1"/>
    <col min="5900" max="5901" width="15.5546875" style="3" customWidth="1"/>
    <col min="5902" max="5902" width="13.6640625" style="3" customWidth="1"/>
    <col min="5903" max="5903" width="9" style="3" customWidth="1"/>
    <col min="5904" max="5904" width="49.88671875" style="3" customWidth="1"/>
    <col min="5905" max="5905" width="0" style="3" hidden="1"/>
    <col min="5906" max="5907" width="15.88671875" style="3" customWidth="1"/>
    <col min="5908" max="5908" width="14.5546875" style="3" customWidth="1"/>
    <col min="5909" max="5909" width="16.33203125" style="3" customWidth="1"/>
    <col min="5910" max="5910" width="18.109375" style="3" customWidth="1"/>
    <col min="5911" max="5911" width="14.109375" style="3" customWidth="1"/>
    <col min="5912" max="6138" width="0" style="3" hidden="1"/>
    <col min="6139" max="6139" width="7.5546875" style="3" customWidth="1"/>
    <col min="6140" max="6140" width="36.77734375" style="3" customWidth="1"/>
    <col min="6141" max="6142" width="0" style="3" hidden="1"/>
    <col min="6143" max="6143" width="16.6640625" style="3" customWidth="1"/>
    <col min="6144" max="6144" width="17.33203125" style="3" customWidth="1"/>
    <col min="6145" max="6145" width="15.5546875" style="3" customWidth="1"/>
    <col min="6146" max="6146" width="0" style="3" hidden="1"/>
    <col min="6147" max="6147" width="16.6640625" style="3" customWidth="1"/>
    <col min="6148" max="6148" width="17.44140625" style="3" customWidth="1"/>
    <col min="6149" max="6150" width="0" style="3" hidden="1"/>
    <col min="6151" max="6153" width="15.33203125" style="3" customWidth="1"/>
    <col min="6154" max="6154" width="17" style="3" customWidth="1"/>
    <col min="6155" max="6155" width="0" style="3" hidden="1"/>
    <col min="6156" max="6157" width="15.5546875" style="3" customWidth="1"/>
    <col min="6158" max="6158" width="13.6640625" style="3" customWidth="1"/>
    <col min="6159" max="6159" width="9" style="3" customWidth="1"/>
    <col min="6160" max="6160" width="49.88671875" style="3" customWidth="1"/>
    <col min="6161" max="6161" width="0" style="3" hidden="1"/>
    <col min="6162" max="6163" width="15.88671875" style="3" customWidth="1"/>
    <col min="6164" max="6164" width="14.5546875" style="3" customWidth="1"/>
    <col min="6165" max="6165" width="16.33203125" style="3" customWidth="1"/>
    <col min="6166" max="6166" width="18.109375" style="3" customWidth="1"/>
    <col min="6167" max="6167" width="14.109375" style="3" customWidth="1"/>
    <col min="6168" max="6394" width="0" style="3" hidden="1"/>
    <col min="6395" max="6395" width="7.5546875" style="3" customWidth="1"/>
    <col min="6396" max="6396" width="36.77734375" style="3" customWidth="1"/>
    <col min="6397" max="6398" width="0" style="3" hidden="1"/>
    <col min="6399" max="6399" width="16.6640625" style="3" customWidth="1"/>
    <col min="6400" max="6400" width="17.33203125" style="3" customWidth="1"/>
    <col min="6401" max="6401" width="15.5546875" style="3" customWidth="1"/>
    <col min="6402" max="6402" width="0" style="3" hidden="1"/>
    <col min="6403" max="6403" width="16.6640625" style="3" customWidth="1"/>
    <col min="6404" max="6404" width="17.44140625" style="3" customWidth="1"/>
    <col min="6405" max="6406" width="0" style="3" hidden="1"/>
    <col min="6407" max="6409" width="15.33203125" style="3" customWidth="1"/>
    <col min="6410" max="6410" width="17" style="3" customWidth="1"/>
    <col min="6411" max="6411" width="0" style="3" hidden="1"/>
    <col min="6412" max="6413" width="15.5546875" style="3" customWidth="1"/>
    <col min="6414" max="6414" width="13.6640625" style="3" customWidth="1"/>
    <col min="6415" max="6415" width="9" style="3" customWidth="1"/>
    <col min="6416" max="6416" width="49.88671875" style="3" customWidth="1"/>
    <col min="6417" max="6417" width="0" style="3" hidden="1"/>
    <col min="6418" max="6419" width="15.88671875" style="3" customWidth="1"/>
    <col min="6420" max="6420" width="14.5546875" style="3" customWidth="1"/>
    <col min="6421" max="6421" width="16.33203125" style="3" customWidth="1"/>
    <col min="6422" max="6422" width="18.109375" style="3" customWidth="1"/>
    <col min="6423" max="6423" width="14.109375" style="3" customWidth="1"/>
    <col min="6424" max="6650" width="0" style="3" hidden="1"/>
    <col min="6651" max="6651" width="7.5546875" style="3" customWidth="1"/>
    <col min="6652" max="6652" width="36.77734375" style="3" customWidth="1"/>
    <col min="6653" max="6654" width="0" style="3" hidden="1"/>
    <col min="6655" max="6655" width="16.6640625" style="3" customWidth="1"/>
    <col min="6656" max="6656" width="17.33203125" style="3" customWidth="1"/>
    <col min="6657" max="6657" width="15.5546875" style="3" customWidth="1"/>
    <col min="6658" max="6658" width="0" style="3" hidden="1"/>
    <col min="6659" max="6659" width="16.6640625" style="3" customWidth="1"/>
    <col min="6660" max="6660" width="17.44140625" style="3" customWidth="1"/>
    <col min="6661" max="6662" width="0" style="3" hidden="1"/>
    <col min="6663" max="6665" width="15.33203125" style="3" customWidth="1"/>
    <col min="6666" max="6666" width="17" style="3" customWidth="1"/>
    <col min="6667" max="6667" width="0" style="3" hidden="1"/>
    <col min="6668" max="6669" width="15.5546875" style="3" customWidth="1"/>
    <col min="6670" max="6670" width="13.6640625" style="3" customWidth="1"/>
    <col min="6671" max="6671" width="9" style="3" customWidth="1"/>
    <col min="6672" max="6672" width="49.88671875" style="3" customWidth="1"/>
    <col min="6673" max="6673" width="0" style="3" hidden="1"/>
    <col min="6674" max="6675" width="15.88671875" style="3" customWidth="1"/>
    <col min="6676" max="6676" width="14.5546875" style="3" customWidth="1"/>
    <col min="6677" max="6677" width="16.33203125" style="3" customWidth="1"/>
    <col min="6678" max="6678" width="18.109375" style="3" customWidth="1"/>
    <col min="6679" max="6679" width="14.109375" style="3" customWidth="1"/>
    <col min="6680" max="6906" width="0" style="3" hidden="1"/>
    <col min="6907" max="6907" width="7.5546875" style="3" customWidth="1"/>
    <col min="6908" max="6908" width="36.77734375" style="3" customWidth="1"/>
    <col min="6909" max="6910" width="0" style="3" hidden="1"/>
    <col min="6911" max="6911" width="16.6640625" style="3" customWidth="1"/>
    <col min="6912" max="6912" width="17.33203125" style="3" customWidth="1"/>
    <col min="6913" max="6913" width="15.5546875" style="3" customWidth="1"/>
    <col min="6914" max="6914" width="0" style="3" hidden="1"/>
    <col min="6915" max="6915" width="16.6640625" style="3" customWidth="1"/>
    <col min="6916" max="6916" width="17.44140625" style="3" customWidth="1"/>
    <col min="6917" max="6918" width="0" style="3" hidden="1"/>
    <col min="6919" max="6921" width="15.33203125" style="3" customWidth="1"/>
    <col min="6922" max="6922" width="17" style="3" customWidth="1"/>
    <col min="6923" max="6923" width="0" style="3" hidden="1"/>
    <col min="6924" max="6925" width="15.5546875" style="3" customWidth="1"/>
    <col min="6926" max="6926" width="13.6640625" style="3" customWidth="1"/>
    <col min="6927" max="6927" width="9" style="3" customWidth="1"/>
    <col min="6928" max="6928" width="49.88671875" style="3" customWidth="1"/>
    <col min="6929" max="6929" width="0" style="3" hidden="1"/>
    <col min="6930" max="6931" width="15.88671875" style="3" customWidth="1"/>
    <col min="6932" max="6932" width="14.5546875" style="3" customWidth="1"/>
    <col min="6933" max="6933" width="16.33203125" style="3" customWidth="1"/>
    <col min="6934" max="6934" width="18.109375" style="3" customWidth="1"/>
    <col min="6935" max="6935" width="14.109375" style="3" customWidth="1"/>
    <col min="6936" max="7162" width="0" style="3" hidden="1"/>
    <col min="7163" max="7163" width="7.5546875" style="3" customWidth="1"/>
    <col min="7164" max="7164" width="36.77734375" style="3" customWidth="1"/>
    <col min="7165" max="7166" width="0" style="3" hidden="1"/>
    <col min="7167" max="7167" width="16.6640625" style="3" customWidth="1"/>
    <col min="7168" max="7168" width="17.33203125" style="3" customWidth="1"/>
    <col min="7169" max="7169" width="15.5546875" style="3" customWidth="1"/>
    <col min="7170" max="7170" width="0" style="3" hidden="1"/>
    <col min="7171" max="7171" width="16.6640625" style="3" customWidth="1"/>
    <col min="7172" max="7172" width="17.44140625" style="3" customWidth="1"/>
    <col min="7173" max="7174" width="0" style="3" hidden="1"/>
    <col min="7175" max="7177" width="15.33203125" style="3" customWidth="1"/>
    <col min="7178" max="7178" width="17" style="3" customWidth="1"/>
    <col min="7179" max="7179" width="0" style="3" hidden="1"/>
    <col min="7180" max="7181" width="15.5546875" style="3" customWidth="1"/>
    <col min="7182" max="7182" width="13.6640625" style="3" customWidth="1"/>
    <col min="7183" max="7183" width="9" style="3" customWidth="1"/>
    <col min="7184" max="7184" width="49.88671875" style="3" customWidth="1"/>
    <col min="7185" max="7185" width="0" style="3" hidden="1"/>
    <col min="7186" max="7187" width="15.88671875" style="3" customWidth="1"/>
    <col min="7188" max="7188" width="14.5546875" style="3" customWidth="1"/>
    <col min="7189" max="7189" width="16.33203125" style="3" customWidth="1"/>
    <col min="7190" max="7190" width="18.109375" style="3" customWidth="1"/>
    <col min="7191" max="7191" width="14.109375" style="3" customWidth="1"/>
    <col min="7192" max="7418" width="0" style="3" hidden="1"/>
    <col min="7419" max="7419" width="7.5546875" style="3" customWidth="1"/>
    <col min="7420" max="7420" width="36.77734375" style="3" customWidth="1"/>
    <col min="7421" max="7422" width="0" style="3" hidden="1"/>
    <col min="7423" max="7423" width="16.6640625" style="3" customWidth="1"/>
    <col min="7424" max="7424" width="17.33203125" style="3" customWidth="1"/>
    <col min="7425" max="7425" width="15.5546875" style="3" customWidth="1"/>
    <col min="7426" max="7426" width="0" style="3" hidden="1"/>
    <col min="7427" max="7427" width="16.6640625" style="3" customWidth="1"/>
    <col min="7428" max="7428" width="17.44140625" style="3" customWidth="1"/>
    <col min="7429" max="7430" width="0" style="3" hidden="1"/>
    <col min="7431" max="7433" width="15.33203125" style="3" customWidth="1"/>
    <col min="7434" max="7434" width="17" style="3" customWidth="1"/>
    <col min="7435" max="7435" width="0" style="3" hidden="1"/>
    <col min="7436" max="7437" width="15.5546875" style="3" customWidth="1"/>
    <col min="7438" max="7438" width="13.6640625" style="3" customWidth="1"/>
    <col min="7439" max="7439" width="9" style="3" customWidth="1"/>
    <col min="7440" max="7440" width="49.88671875" style="3" customWidth="1"/>
    <col min="7441" max="7441" width="0" style="3" hidden="1"/>
    <col min="7442" max="7443" width="15.88671875" style="3" customWidth="1"/>
    <col min="7444" max="7444" width="14.5546875" style="3" customWidth="1"/>
    <col min="7445" max="7445" width="16.33203125" style="3" customWidth="1"/>
    <col min="7446" max="7446" width="18.109375" style="3" customWidth="1"/>
    <col min="7447" max="7447" width="14.109375" style="3" customWidth="1"/>
    <col min="7448" max="7674" width="0" style="3" hidden="1"/>
    <col min="7675" max="7675" width="7.5546875" style="3" customWidth="1"/>
    <col min="7676" max="7676" width="36.77734375" style="3" customWidth="1"/>
    <col min="7677" max="7678" width="0" style="3" hidden="1"/>
    <col min="7679" max="7679" width="16.6640625" style="3" customWidth="1"/>
    <col min="7680" max="7680" width="17.33203125" style="3" customWidth="1"/>
    <col min="7681" max="7681" width="15.5546875" style="3" customWidth="1"/>
    <col min="7682" max="7682" width="0" style="3" hidden="1"/>
    <col min="7683" max="7683" width="16.6640625" style="3" customWidth="1"/>
    <col min="7684" max="7684" width="17.44140625" style="3" customWidth="1"/>
    <col min="7685" max="7686" width="0" style="3" hidden="1"/>
    <col min="7687" max="7689" width="15.33203125" style="3" customWidth="1"/>
    <col min="7690" max="7690" width="17" style="3" customWidth="1"/>
    <col min="7691" max="7691" width="0" style="3" hidden="1"/>
    <col min="7692" max="7693" width="15.5546875" style="3" customWidth="1"/>
    <col min="7694" max="7694" width="13.6640625" style="3" customWidth="1"/>
    <col min="7695" max="7695" width="9" style="3" customWidth="1"/>
    <col min="7696" max="7696" width="49.88671875" style="3" customWidth="1"/>
    <col min="7697" max="7697" width="0" style="3" hidden="1"/>
    <col min="7698" max="7699" width="15.88671875" style="3" customWidth="1"/>
    <col min="7700" max="7700" width="14.5546875" style="3" customWidth="1"/>
    <col min="7701" max="7701" width="16.33203125" style="3" customWidth="1"/>
    <col min="7702" max="7702" width="18.109375" style="3" customWidth="1"/>
    <col min="7703" max="7703" width="14.109375" style="3" customWidth="1"/>
    <col min="7704" max="7930" width="0" style="3" hidden="1"/>
    <col min="7931" max="7931" width="7.5546875" style="3" customWidth="1"/>
    <col min="7932" max="7932" width="36.77734375" style="3" customWidth="1"/>
    <col min="7933" max="7934" width="0" style="3" hidden="1"/>
    <col min="7935" max="7935" width="16.6640625" style="3" customWidth="1"/>
    <col min="7936" max="7936" width="17.33203125" style="3" customWidth="1"/>
    <col min="7937" max="7937" width="15.5546875" style="3" customWidth="1"/>
    <col min="7938" max="7938" width="0" style="3" hidden="1"/>
    <col min="7939" max="7939" width="16.6640625" style="3" customWidth="1"/>
    <col min="7940" max="7940" width="17.44140625" style="3" customWidth="1"/>
    <col min="7941" max="7942" width="0" style="3" hidden="1"/>
    <col min="7943" max="7945" width="15.33203125" style="3" customWidth="1"/>
    <col min="7946" max="7946" width="17" style="3" customWidth="1"/>
    <col min="7947" max="7947" width="0" style="3" hidden="1"/>
    <col min="7948" max="7949" width="15.5546875" style="3" customWidth="1"/>
    <col min="7950" max="7950" width="13.6640625" style="3" customWidth="1"/>
    <col min="7951" max="7951" width="9" style="3" customWidth="1"/>
    <col min="7952" max="7952" width="49.88671875" style="3" customWidth="1"/>
    <col min="7953" max="7953" width="0" style="3" hidden="1"/>
    <col min="7954" max="7955" width="15.88671875" style="3" customWidth="1"/>
    <col min="7956" max="7956" width="14.5546875" style="3" customWidth="1"/>
    <col min="7957" max="7957" width="16.33203125" style="3" customWidth="1"/>
    <col min="7958" max="7958" width="18.109375" style="3" customWidth="1"/>
    <col min="7959" max="7959" width="14.109375" style="3" customWidth="1"/>
    <col min="7960" max="8186" width="0" style="3" hidden="1"/>
    <col min="8187" max="8187" width="7.5546875" style="3" customWidth="1"/>
    <col min="8188" max="8188" width="36.77734375" style="3" customWidth="1"/>
    <col min="8189" max="8190" width="0" style="3" hidden="1"/>
    <col min="8191" max="8191" width="16.6640625" style="3" customWidth="1"/>
    <col min="8192" max="8192" width="17.33203125" style="3" customWidth="1"/>
    <col min="8193" max="8193" width="15.5546875" style="3" customWidth="1"/>
    <col min="8194" max="8194" width="0" style="3" hidden="1"/>
    <col min="8195" max="8195" width="16.6640625" style="3" customWidth="1"/>
    <col min="8196" max="8196" width="17.44140625" style="3" customWidth="1"/>
    <col min="8197" max="8198" width="0" style="3" hidden="1"/>
    <col min="8199" max="8201" width="15.33203125" style="3" customWidth="1"/>
    <col min="8202" max="8202" width="17" style="3" customWidth="1"/>
    <col min="8203" max="8203" width="0" style="3" hidden="1"/>
    <col min="8204" max="8205" width="15.5546875" style="3" customWidth="1"/>
    <col min="8206" max="8206" width="13.6640625" style="3" customWidth="1"/>
    <col min="8207" max="8207" width="9" style="3" customWidth="1"/>
    <col min="8208" max="8208" width="49.88671875" style="3" customWidth="1"/>
    <col min="8209" max="8209" width="0" style="3" hidden="1"/>
    <col min="8210" max="8211" width="15.88671875" style="3" customWidth="1"/>
    <col min="8212" max="8212" width="14.5546875" style="3" customWidth="1"/>
    <col min="8213" max="8213" width="16.33203125" style="3" customWidth="1"/>
    <col min="8214" max="8214" width="18.109375" style="3" customWidth="1"/>
    <col min="8215" max="8215" width="14.109375" style="3" customWidth="1"/>
    <col min="8216" max="8442" width="0" style="3" hidden="1"/>
    <col min="8443" max="8443" width="7.5546875" style="3" customWidth="1"/>
    <col min="8444" max="8444" width="36.77734375" style="3" customWidth="1"/>
    <col min="8445" max="8446" width="0" style="3" hidden="1"/>
    <col min="8447" max="8447" width="16.6640625" style="3" customWidth="1"/>
    <col min="8448" max="8448" width="17.33203125" style="3" customWidth="1"/>
    <col min="8449" max="8449" width="15.5546875" style="3" customWidth="1"/>
    <col min="8450" max="8450" width="0" style="3" hidden="1"/>
    <col min="8451" max="8451" width="16.6640625" style="3" customWidth="1"/>
    <col min="8452" max="8452" width="17.44140625" style="3" customWidth="1"/>
    <col min="8453" max="8454" width="0" style="3" hidden="1"/>
    <col min="8455" max="8457" width="15.33203125" style="3" customWidth="1"/>
    <col min="8458" max="8458" width="17" style="3" customWidth="1"/>
    <col min="8459" max="8459" width="0" style="3" hidden="1"/>
    <col min="8460" max="8461" width="15.5546875" style="3" customWidth="1"/>
    <col min="8462" max="8462" width="13.6640625" style="3" customWidth="1"/>
    <col min="8463" max="8463" width="9" style="3" customWidth="1"/>
    <col min="8464" max="8464" width="49.88671875" style="3" customWidth="1"/>
    <col min="8465" max="8465" width="0" style="3" hidden="1"/>
    <col min="8466" max="8467" width="15.88671875" style="3" customWidth="1"/>
    <col min="8468" max="8468" width="14.5546875" style="3" customWidth="1"/>
    <col min="8469" max="8469" width="16.33203125" style="3" customWidth="1"/>
    <col min="8470" max="8470" width="18.109375" style="3" customWidth="1"/>
    <col min="8471" max="8471" width="14.109375" style="3" customWidth="1"/>
    <col min="8472" max="8698" width="0" style="3" hidden="1"/>
    <col min="8699" max="8699" width="7.5546875" style="3" customWidth="1"/>
    <col min="8700" max="8700" width="36.77734375" style="3" customWidth="1"/>
    <col min="8701" max="8702" width="0" style="3" hidden="1"/>
    <col min="8703" max="8703" width="16.6640625" style="3" customWidth="1"/>
    <col min="8704" max="8704" width="17.33203125" style="3" customWidth="1"/>
    <col min="8705" max="8705" width="15.5546875" style="3" customWidth="1"/>
    <col min="8706" max="8706" width="0" style="3" hidden="1"/>
    <col min="8707" max="8707" width="16.6640625" style="3" customWidth="1"/>
    <col min="8708" max="8708" width="17.44140625" style="3" customWidth="1"/>
    <col min="8709" max="8710" width="0" style="3" hidden="1"/>
    <col min="8711" max="8713" width="15.33203125" style="3" customWidth="1"/>
    <col min="8714" max="8714" width="17" style="3" customWidth="1"/>
    <col min="8715" max="8715" width="0" style="3" hidden="1"/>
    <col min="8716" max="8717" width="15.5546875" style="3" customWidth="1"/>
    <col min="8718" max="8718" width="13.6640625" style="3" customWidth="1"/>
    <col min="8719" max="8719" width="9" style="3" customWidth="1"/>
    <col min="8720" max="8720" width="49.88671875" style="3" customWidth="1"/>
    <col min="8721" max="8721" width="0" style="3" hidden="1"/>
    <col min="8722" max="8723" width="15.88671875" style="3" customWidth="1"/>
    <col min="8724" max="8724" width="14.5546875" style="3" customWidth="1"/>
    <col min="8725" max="8725" width="16.33203125" style="3" customWidth="1"/>
    <col min="8726" max="8726" width="18.109375" style="3" customWidth="1"/>
    <col min="8727" max="8727" width="14.109375" style="3" customWidth="1"/>
    <col min="8728" max="8954" width="0" style="3" hidden="1"/>
    <col min="8955" max="8955" width="7.5546875" style="3" customWidth="1"/>
    <col min="8956" max="8956" width="36.77734375" style="3" customWidth="1"/>
    <col min="8957" max="8958" width="0" style="3" hidden="1"/>
    <col min="8959" max="8959" width="16.6640625" style="3" customWidth="1"/>
    <col min="8960" max="8960" width="17.33203125" style="3" customWidth="1"/>
    <col min="8961" max="8961" width="15.5546875" style="3" customWidth="1"/>
    <col min="8962" max="8962" width="0" style="3" hidden="1"/>
    <col min="8963" max="8963" width="16.6640625" style="3" customWidth="1"/>
    <col min="8964" max="8964" width="17.44140625" style="3" customWidth="1"/>
    <col min="8965" max="8966" width="0" style="3" hidden="1"/>
    <col min="8967" max="8969" width="15.33203125" style="3" customWidth="1"/>
    <col min="8970" max="8970" width="17" style="3" customWidth="1"/>
    <col min="8971" max="8971" width="0" style="3" hidden="1"/>
    <col min="8972" max="8973" width="15.5546875" style="3" customWidth="1"/>
    <col min="8974" max="8974" width="13.6640625" style="3" customWidth="1"/>
    <col min="8975" max="8975" width="9" style="3" customWidth="1"/>
    <col min="8976" max="8976" width="49.88671875" style="3" customWidth="1"/>
    <col min="8977" max="8977" width="0" style="3" hidden="1"/>
    <col min="8978" max="8979" width="15.88671875" style="3" customWidth="1"/>
    <col min="8980" max="8980" width="14.5546875" style="3" customWidth="1"/>
    <col min="8981" max="8981" width="16.33203125" style="3" customWidth="1"/>
    <col min="8982" max="8982" width="18.109375" style="3" customWidth="1"/>
    <col min="8983" max="8983" width="14.109375" style="3" customWidth="1"/>
    <col min="8984" max="9210" width="0" style="3" hidden="1"/>
    <col min="9211" max="9211" width="7.5546875" style="3" customWidth="1"/>
    <col min="9212" max="9212" width="36.77734375" style="3" customWidth="1"/>
    <col min="9213" max="9214" width="0" style="3" hidden="1"/>
    <col min="9215" max="9215" width="16.6640625" style="3" customWidth="1"/>
    <col min="9216" max="9216" width="17.33203125" style="3" customWidth="1"/>
    <col min="9217" max="9217" width="15.5546875" style="3" customWidth="1"/>
    <col min="9218" max="9218" width="0" style="3" hidden="1"/>
    <col min="9219" max="9219" width="16.6640625" style="3" customWidth="1"/>
    <col min="9220" max="9220" width="17.44140625" style="3" customWidth="1"/>
    <col min="9221" max="9222" width="0" style="3" hidden="1"/>
    <col min="9223" max="9225" width="15.33203125" style="3" customWidth="1"/>
    <col min="9226" max="9226" width="17" style="3" customWidth="1"/>
    <col min="9227" max="9227" width="0" style="3" hidden="1"/>
    <col min="9228" max="9229" width="15.5546875" style="3" customWidth="1"/>
    <col min="9230" max="9230" width="13.6640625" style="3" customWidth="1"/>
    <col min="9231" max="9231" width="9" style="3" customWidth="1"/>
    <col min="9232" max="9232" width="49.88671875" style="3" customWidth="1"/>
    <col min="9233" max="9233" width="0" style="3" hidden="1"/>
    <col min="9234" max="9235" width="15.88671875" style="3" customWidth="1"/>
    <col min="9236" max="9236" width="14.5546875" style="3" customWidth="1"/>
    <col min="9237" max="9237" width="16.33203125" style="3" customWidth="1"/>
    <col min="9238" max="9238" width="18.109375" style="3" customWidth="1"/>
    <col min="9239" max="9239" width="14.109375" style="3" customWidth="1"/>
    <col min="9240" max="9466" width="0" style="3" hidden="1"/>
    <col min="9467" max="9467" width="7.5546875" style="3" customWidth="1"/>
    <col min="9468" max="9468" width="36.77734375" style="3" customWidth="1"/>
    <col min="9469" max="9470" width="0" style="3" hidden="1"/>
    <col min="9471" max="9471" width="16.6640625" style="3" customWidth="1"/>
    <col min="9472" max="9472" width="17.33203125" style="3" customWidth="1"/>
    <col min="9473" max="9473" width="15.5546875" style="3" customWidth="1"/>
    <col min="9474" max="9474" width="0" style="3" hidden="1"/>
    <col min="9475" max="9475" width="16.6640625" style="3" customWidth="1"/>
    <col min="9476" max="9476" width="17.44140625" style="3" customWidth="1"/>
    <col min="9477" max="9478" width="0" style="3" hidden="1"/>
    <col min="9479" max="9481" width="15.33203125" style="3" customWidth="1"/>
    <col min="9482" max="9482" width="17" style="3" customWidth="1"/>
    <col min="9483" max="9483" width="0" style="3" hidden="1"/>
    <col min="9484" max="9485" width="15.5546875" style="3" customWidth="1"/>
    <col min="9486" max="9486" width="13.6640625" style="3" customWidth="1"/>
    <col min="9487" max="9487" width="9" style="3" customWidth="1"/>
    <col min="9488" max="9488" width="49.88671875" style="3" customWidth="1"/>
    <col min="9489" max="9489" width="0" style="3" hidden="1"/>
    <col min="9490" max="9491" width="15.88671875" style="3" customWidth="1"/>
    <col min="9492" max="9492" width="14.5546875" style="3" customWidth="1"/>
    <col min="9493" max="9493" width="16.33203125" style="3" customWidth="1"/>
    <col min="9494" max="9494" width="18.109375" style="3" customWidth="1"/>
    <col min="9495" max="9495" width="14.109375" style="3" customWidth="1"/>
    <col min="9496" max="9722" width="0" style="3" hidden="1"/>
    <col min="9723" max="9723" width="7.5546875" style="3" customWidth="1"/>
    <col min="9724" max="9724" width="36.77734375" style="3" customWidth="1"/>
    <col min="9725" max="9726" width="0" style="3" hidden="1"/>
    <col min="9727" max="9727" width="16.6640625" style="3" customWidth="1"/>
    <col min="9728" max="9728" width="17.33203125" style="3" customWidth="1"/>
    <col min="9729" max="9729" width="15.5546875" style="3" customWidth="1"/>
    <col min="9730" max="9730" width="0" style="3" hidden="1"/>
    <col min="9731" max="9731" width="16.6640625" style="3" customWidth="1"/>
    <col min="9732" max="9732" width="17.44140625" style="3" customWidth="1"/>
    <col min="9733" max="9734" width="0" style="3" hidden="1"/>
    <col min="9735" max="9737" width="15.33203125" style="3" customWidth="1"/>
    <col min="9738" max="9738" width="17" style="3" customWidth="1"/>
    <col min="9739" max="9739" width="0" style="3" hidden="1"/>
    <col min="9740" max="9741" width="15.5546875" style="3" customWidth="1"/>
    <col min="9742" max="9742" width="13.6640625" style="3" customWidth="1"/>
    <col min="9743" max="9743" width="9" style="3" customWidth="1"/>
    <col min="9744" max="9744" width="49.88671875" style="3" customWidth="1"/>
    <col min="9745" max="9745" width="0" style="3" hidden="1"/>
    <col min="9746" max="9747" width="15.88671875" style="3" customWidth="1"/>
    <col min="9748" max="9748" width="14.5546875" style="3" customWidth="1"/>
    <col min="9749" max="9749" width="16.33203125" style="3" customWidth="1"/>
    <col min="9750" max="9750" width="18.109375" style="3" customWidth="1"/>
    <col min="9751" max="9751" width="14.109375" style="3" customWidth="1"/>
    <col min="9752" max="9978" width="0" style="3" hidden="1"/>
    <col min="9979" max="9979" width="7.5546875" style="3" customWidth="1"/>
    <col min="9980" max="9980" width="36.77734375" style="3" customWidth="1"/>
    <col min="9981" max="9982" width="0" style="3" hidden="1"/>
    <col min="9983" max="9983" width="16.6640625" style="3" customWidth="1"/>
    <col min="9984" max="9984" width="17.33203125" style="3" customWidth="1"/>
    <col min="9985" max="9985" width="15.5546875" style="3" customWidth="1"/>
    <col min="9986" max="9986" width="0" style="3" hidden="1"/>
    <col min="9987" max="9987" width="16.6640625" style="3" customWidth="1"/>
    <col min="9988" max="9988" width="17.44140625" style="3" customWidth="1"/>
    <col min="9989" max="9990" width="0" style="3" hidden="1"/>
    <col min="9991" max="9993" width="15.33203125" style="3" customWidth="1"/>
    <col min="9994" max="9994" width="17" style="3" customWidth="1"/>
    <col min="9995" max="9995" width="0" style="3" hidden="1"/>
    <col min="9996" max="9997" width="15.5546875" style="3" customWidth="1"/>
    <col min="9998" max="9998" width="13.6640625" style="3" customWidth="1"/>
    <col min="9999" max="9999" width="9" style="3" customWidth="1"/>
    <col min="10000" max="10000" width="49.88671875" style="3" customWidth="1"/>
    <col min="10001" max="10001" width="0" style="3" hidden="1"/>
    <col min="10002" max="10003" width="15.88671875" style="3" customWidth="1"/>
    <col min="10004" max="10004" width="14.5546875" style="3" customWidth="1"/>
    <col min="10005" max="10005" width="16.33203125" style="3" customWidth="1"/>
    <col min="10006" max="10006" width="18.109375" style="3" customWidth="1"/>
    <col min="10007" max="10007" width="14.109375" style="3" customWidth="1"/>
    <col min="10008" max="10234" width="0" style="3" hidden="1"/>
    <col min="10235" max="10235" width="7.5546875" style="3" customWidth="1"/>
    <col min="10236" max="10236" width="36.77734375" style="3" customWidth="1"/>
    <col min="10237" max="10238" width="0" style="3" hidden="1"/>
    <col min="10239" max="10239" width="16.6640625" style="3" customWidth="1"/>
    <col min="10240" max="10240" width="17.33203125" style="3" customWidth="1"/>
    <col min="10241" max="10241" width="15.5546875" style="3" customWidth="1"/>
    <col min="10242" max="10242" width="0" style="3" hidden="1"/>
    <col min="10243" max="10243" width="16.6640625" style="3" customWidth="1"/>
    <col min="10244" max="10244" width="17.44140625" style="3" customWidth="1"/>
    <col min="10245" max="10246" width="0" style="3" hidden="1"/>
    <col min="10247" max="10249" width="15.33203125" style="3" customWidth="1"/>
    <col min="10250" max="10250" width="17" style="3" customWidth="1"/>
    <col min="10251" max="10251" width="0" style="3" hidden="1"/>
    <col min="10252" max="10253" width="15.5546875" style="3" customWidth="1"/>
    <col min="10254" max="10254" width="13.6640625" style="3" customWidth="1"/>
    <col min="10255" max="10255" width="9" style="3" customWidth="1"/>
    <col min="10256" max="10256" width="49.88671875" style="3" customWidth="1"/>
    <col min="10257" max="10257" width="0" style="3" hidden="1"/>
    <col min="10258" max="10259" width="15.88671875" style="3" customWidth="1"/>
    <col min="10260" max="10260" width="14.5546875" style="3" customWidth="1"/>
    <col min="10261" max="10261" width="16.33203125" style="3" customWidth="1"/>
    <col min="10262" max="10262" width="18.109375" style="3" customWidth="1"/>
    <col min="10263" max="10263" width="14.109375" style="3" customWidth="1"/>
    <col min="10264" max="10490" width="0" style="3" hidden="1"/>
    <col min="10491" max="10491" width="7.5546875" style="3" customWidth="1"/>
    <col min="10492" max="10492" width="36.77734375" style="3" customWidth="1"/>
    <col min="10493" max="10494" width="0" style="3" hidden="1"/>
    <col min="10495" max="10495" width="16.6640625" style="3" customWidth="1"/>
    <col min="10496" max="10496" width="17.33203125" style="3" customWidth="1"/>
    <col min="10497" max="10497" width="15.5546875" style="3" customWidth="1"/>
    <col min="10498" max="10498" width="0" style="3" hidden="1"/>
    <col min="10499" max="10499" width="16.6640625" style="3" customWidth="1"/>
    <col min="10500" max="10500" width="17.44140625" style="3" customWidth="1"/>
    <col min="10501" max="10502" width="0" style="3" hidden="1"/>
    <col min="10503" max="10505" width="15.33203125" style="3" customWidth="1"/>
    <col min="10506" max="10506" width="17" style="3" customWidth="1"/>
    <col min="10507" max="10507" width="0" style="3" hidden="1"/>
    <col min="10508" max="10509" width="15.5546875" style="3" customWidth="1"/>
    <col min="10510" max="10510" width="13.6640625" style="3" customWidth="1"/>
    <col min="10511" max="10511" width="9" style="3" customWidth="1"/>
    <col min="10512" max="10512" width="49.88671875" style="3" customWidth="1"/>
    <col min="10513" max="10513" width="0" style="3" hidden="1"/>
    <col min="10514" max="10515" width="15.88671875" style="3" customWidth="1"/>
    <col min="10516" max="10516" width="14.5546875" style="3" customWidth="1"/>
    <col min="10517" max="10517" width="16.33203125" style="3" customWidth="1"/>
    <col min="10518" max="10518" width="18.109375" style="3" customWidth="1"/>
    <col min="10519" max="10519" width="14.109375" style="3" customWidth="1"/>
    <col min="10520" max="10746" width="0" style="3" hidden="1"/>
    <col min="10747" max="10747" width="7.5546875" style="3" customWidth="1"/>
    <col min="10748" max="10748" width="36.77734375" style="3" customWidth="1"/>
    <col min="10749" max="10750" width="0" style="3" hidden="1"/>
    <col min="10751" max="10751" width="16.6640625" style="3" customWidth="1"/>
    <col min="10752" max="10752" width="17.33203125" style="3" customWidth="1"/>
    <col min="10753" max="10753" width="15.5546875" style="3" customWidth="1"/>
    <col min="10754" max="10754" width="0" style="3" hidden="1"/>
    <col min="10755" max="10755" width="16.6640625" style="3" customWidth="1"/>
    <col min="10756" max="10756" width="17.44140625" style="3" customWidth="1"/>
    <col min="10757" max="10758" width="0" style="3" hidden="1"/>
    <col min="10759" max="10761" width="15.33203125" style="3" customWidth="1"/>
    <col min="10762" max="10762" width="17" style="3" customWidth="1"/>
    <col min="10763" max="10763" width="0" style="3" hidden="1"/>
    <col min="10764" max="10765" width="15.5546875" style="3" customWidth="1"/>
    <col min="10766" max="10766" width="13.6640625" style="3" customWidth="1"/>
    <col min="10767" max="10767" width="9" style="3" customWidth="1"/>
    <col min="10768" max="10768" width="49.88671875" style="3" customWidth="1"/>
    <col min="10769" max="10769" width="0" style="3" hidden="1"/>
    <col min="10770" max="10771" width="15.88671875" style="3" customWidth="1"/>
    <col min="10772" max="10772" width="14.5546875" style="3" customWidth="1"/>
    <col min="10773" max="10773" width="16.33203125" style="3" customWidth="1"/>
    <col min="10774" max="10774" width="18.109375" style="3" customWidth="1"/>
    <col min="10775" max="10775" width="14.109375" style="3" customWidth="1"/>
    <col min="10776" max="11002" width="0" style="3" hidden="1"/>
    <col min="11003" max="11003" width="7.5546875" style="3" customWidth="1"/>
    <col min="11004" max="11004" width="36.77734375" style="3" customWidth="1"/>
    <col min="11005" max="11006" width="0" style="3" hidden="1"/>
    <col min="11007" max="11007" width="16.6640625" style="3" customWidth="1"/>
    <col min="11008" max="11008" width="17.33203125" style="3" customWidth="1"/>
    <col min="11009" max="11009" width="15.5546875" style="3" customWidth="1"/>
    <col min="11010" max="11010" width="0" style="3" hidden="1"/>
    <col min="11011" max="11011" width="16.6640625" style="3" customWidth="1"/>
    <col min="11012" max="11012" width="17.44140625" style="3" customWidth="1"/>
    <col min="11013" max="11014" width="0" style="3" hidden="1"/>
    <col min="11015" max="11017" width="15.33203125" style="3" customWidth="1"/>
    <col min="11018" max="11018" width="17" style="3" customWidth="1"/>
    <col min="11019" max="11019" width="0" style="3" hidden="1"/>
    <col min="11020" max="11021" width="15.5546875" style="3" customWidth="1"/>
    <col min="11022" max="11022" width="13.6640625" style="3" customWidth="1"/>
    <col min="11023" max="11023" width="9" style="3" customWidth="1"/>
    <col min="11024" max="11024" width="49.88671875" style="3" customWidth="1"/>
    <col min="11025" max="11025" width="0" style="3" hidden="1"/>
    <col min="11026" max="11027" width="15.88671875" style="3" customWidth="1"/>
    <col min="11028" max="11028" width="14.5546875" style="3" customWidth="1"/>
    <col min="11029" max="11029" width="16.33203125" style="3" customWidth="1"/>
    <col min="11030" max="11030" width="18.109375" style="3" customWidth="1"/>
    <col min="11031" max="11031" width="14.109375" style="3" customWidth="1"/>
    <col min="11032" max="11258" width="0" style="3" hidden="1"/>
    <col min="11259" max="11259" width="7.5546875" style="3" customWidth="1"/>
    <col min="11260" max="11260" width="36.77734375" style="3" customWidth="1"/>
    <col min="11261" max="11262" width="0" style="3" hidden="1"/>
    <col min="11263" max="11263" width="16.6640625" style="3" customWidth="1"/>
    <col min="11264" max="11264" width="17.33203125" style="3" customWidth="1"/>
    <col min="11265" max="11265" width="15.5546875" style="3" customWidth="1"/>
    <col min="11266" max="11266" width="0" style="3" hidden="1"/>
    <col min="11267" max="11267" width="16.6640625" style="3" customWidth="1"/>
    <col min="11268" max="11268" width="17.44140625" style="3" customWidth="1"/>
    <col min="11269" max="11270" width="0" style="3" hidden="1"/>
    <col min="11271" max="11273" width="15.33203125" style="3" customWidth="1"/>
    <col min="11274" max="11274" width="17" style="3" customWidth="1"/>
    <col min="11275" max="11275" width="0" style="3" hidden="1"/>
    <col min="11276" max="11277" width="15.5546875" style="3" customWidth="1"/>
    <col min="11278" max="11278" width="13.6640625" style="3" customWidth="1"/>
    <col min="11279" max="11279" width="9" style="3" customWidth="1"/>
    <col min="11280" max="11280" width="49.88671875" style="3" customWidth="1"/>
    <col min="11281" max="11281" width="0" style="3" hidden="1"/>
    <col min="11282" max="11283" width="15.88671875" style="3" customWidth="1"/>
    <col min="11284" max="11284" width="14.5546875" style="3" customWidth="1"/>
    <col min="11285" max="11285" width="16.33203125" style="3" customWidth="1"/>
    <col min="11286" max="11286" width="18.109375" style="3" customWidth="1"/>
    <col min="11287" max="11287" width="14.109375" style="3" customWidth="1"/>
    <col min="11288" max="11514" width="0" style="3" hidden="1"/>
    <col min="11515" max="11515" width="7.5546875" style="3" customWidth="1"/>
    <col min="11516" max="11516" width="36.77734375" style="3" customWidth="1"/>
    <col min="11517" max="11518" width="0" style="3" hidden="1"/>
    <col min="11519" max="11519" width="16.6640625" style="3" customWidth="1"/>
    <col min="11520" max="11520" width="17.33203125" style="3" customWidth="1"/>
    <col min="11521" max="11521" width="15.5546875" style="3" customWidth="1"/>
    <col min="11522" max="11522" width="0" style="3" hidden="1"/>
    <col min="11523" max="11523" width="16.6640625" style="3" customWidth="1"/>
    <col min="11524" max="11524" width="17.44140625" style="3" customWidth="1"/>
    <col min="11525" max="11526" width="0" style="3" hidden="1"/>
    <col min="11527" max="11529" width="15.33203125" style="3" customWidth="1"/>
    <col min="11530" max="11530" width="17" style="3" customWidth="1"/>
    <col min="11531" max="11531" width="0" style="3" hidden="1"/>
    <col min="11532" max="11533" width="15.5546875" style="3" customWidth="1"/>
    <col min="11534" max="11534" width="13.6640625" style="3" customWidth="1"/>
    <col min="11535" max="11535" width="9" style="3" customWidth="1"/>
    <col min="11536" max="11536" width="49.88671875" style="3" customWidth="1"/>
    <col min="11537" max="11537" width="0" style="3" hidden="1"/>
    <col min="11538" max="11539" width="15.88671875" style="3" customWidth="1"/>
    <col min="11540" max="11540" width="14.5546875" style="3" customWidth="1"/>
    <col min="11541" max="11541" width="16.33203125" style="3" customWidth="1"/>
    <col min="11542" max="11542" width="18.109375" style="3" customWidth="1"/>
    <col min="11543" max="11543" width="14.109375" style="3" customWidth="1"/>
    <col min="11544" max="11770" width="0" style="3" hidden="1"/>
    <col min="11771" max="11771" width="7.5546875" style="3" customWidth="1"/>
    <col min="11772" max="11772" width="36.77734375" style="3" customWidth="1"/>
    <col min="11773" max="11774" width="0" style="3" hidden="1"/>
    <col min="11775" max="11775" width="16.6640625" style="3" customWidth="1"/>
    <col min="11776" max="11776" width="17.33203125" style="3" customWidth="1"/>
    <col min="11777" max="11777" width="15.5546875" style="3" customWidth="1"/>
    <col min="11778" max="11778" width="0" style="3" hidden="1"/>
    <col min="11779" max="11779" width="16.6640625" style="3" customWidth="1"/>
    <col min="11780" max="11780" width="17.44140625" style="3" customWidth="1"/>
    <col min="11781" max="11782" width="0" style="3" hidden="1"/>
    <col min="11783" max="11785" width="15.33203125" style="3" customWidth="1"/>
    <col min="11786" max="11786" width="17" style="3" customWidth="1"/>
    <col min="11787" max="11787" width="0" style="3" hidden="1"/>
    <col min="11788" max="11789" width="15.5546875" style="3" customWidth="1"/>
    <col min="11790" max="11790" width="13.6640625" style="3" customWidth="1"/>
    <col min="11791" max="11791" width="9" style="3" customWidth="1"/>
    <col min="11792" max="11792" width="49.88671875" style="3" customWidth="1"/>
    <col min="11793" max="11793" width="0" style="3" hidden="1"/>
    <col min="11794" max="11795" width="15.88671875" style="3" customWidth="1"/>
    <col min="11796" max="11796" width="14.5546875" style="3" customWidth="1"/>
    <col min="11797" max="11797" width="16.33203125" style="3" customWidth="1"/>
    <col min="11798" max="11798" width="18.109375" style="3" customWidth="1"/>
    <col min="11799" max="11799" width="14.109375" style="3" customWidth="1"/>
    <col min="11800" max="12026" width="0" style="3" hidden="1"/>
    <col min="12027" max="12027" width="7.5546875" style="3" customWidth="1"/>
    <col min="12028" max="12028" width="36.77734375" style="3" customWidth="1"/>
    <col min="12029" max="12030" width="0" style="3" hidden="1"/>
    <col min="12031" max="12031" width="16.6640625" style="3" customWidth="1"/>
    <col min="12032" max="12032" width="17.33203125" style="3" customWidth="1"/>
    <col min="12033" max="12033" width="15.5546875" style="3" customWidth="1"/>
    <col min="12034" max="12034" width="0" style="3" hidden="1"/>
    <col min="12035" max="12035" width="16.6640625" style="3" customWidth="1"/>
    <col min="12036" max="12036" width="17.44140625" style="3" customWidth="1"/>
    <col min="12037" max="12038" width="0" style="3" hidden="1"/>
    <col min="12039" max="12041" width="15.33203125" style="3" customWidth="1"/>
    <col min="12042" max="12042" width="17" style="3" customWidth="1"/>
    <col min="12043" max="12043" width="0" style="3" hidden="1"/>
    <col min="12044" max="12045" width="15.5546875" style="3" customWidth="1"/>
    <col min="12046" max="12046" width="13.6640625" style="3" customWidth="1"/>
    <col min="12047" max="12047" width="9" style="3" customWidth="1"/>
    <col min="12048" max="12048" width="49.88671875" style="3" customWidth="1"/>
    <col min="12049" max="12049" width="0" style="3" hidden="1"/>
    <col min="12050" max="12051" width="15.88671875" style="3" customWidth="1"/>
    <col min="12052" max="12052" width="14.5546875" style="3" customWidth="1"/>
    <col min="12053" max="12053" width="16.33203125" style="3" customWidth="1"/>
    <col min="12054" max="12054" width="18.109375" style="3" customWidth="1"/>
    <col min="12055" max="12055" width="14.109375" style="3" customWidth="1"/>
    <col min="12056" max="12282" width="0" style="3" hidden="1"/>
    <col min="12283" max="12283" width="7.5546875" style="3" customWidth="1"/>
    <col min="12284" max="12284" width="36.77734375" style="3" customWidth="1"/>
    <col min="12285" max="12286" width="0" style="3" hidden="1"/>
    <col min="12287" max="12287" width="16.6640625" style="3" customWidth="1"/>
    <col min="12288" max="12288" width="17.33203125" style="3" customWidth="1"/>
    <col min="12289" max="12289" width="15.5546875" style="3" customWidth="1"/>
    <col min="12290" max="12290" width="0" style="3" hidden="1"/>
    <col min="12291" max="12291" width="16.6640625" style="3" customWidth="1"/>
    <col min="12292" max="12292" width="17.44140625" style="3" customWidth="1"/>
    <col min="12293" max="12294" width="0" style="3" hidden="1"/>
    <col min="12295" max="12297" width="15.33203125" style="3" customWidth="1"/>
    <col min="12298" max="12298" width="17" style="3" customWidth="1"/>
    <col min="12299" max="12299" width="0" style="3" hidden="1"/>
    <col min="12300" max="12301" width="15.5546875" style="3" customWidth="1"/>
    <col min="12302" max="12302" width="13.6640625" style="3" customWidth="1"/>
    <col min="12303" max="12303" width="9" style="3" customWidth="1"/>
    <col min="12304" max="12304" width="49.88671875" style="3" customWidth="1"/>
    <col min="12305" max="12305" width="0" style="3" hidden="1"/>
    <col min="12306" max="12307" width="15.88671875" style="3" customWidth="1"/>
    <col min="12308" max="12308" width="14.5546875" style="3" customWidth="1"/>
    <col min="12309" max="12309" width="16.33203125" style="3" customWidth="1"/>
    <col min="12310" max="12310" width="18.109375" style="3" customWidth="1"/>
    <col min="12311" max="12311" width="14.109375" style="3" customWidth="1"/>
    <col min="12312" max="12538" width="0" style="3" hidden="1"/>
    <col min="12539" max="12539" width="7.5546875" style="3" customWidth="1"/>
    <col min="12540" max="12540" width="36.77734375" style="3" customWidth="1"/>
    <col min="12541" max="12542" width="0" style="3" hidden="1"/>
    <col min="12543" max="12543" width="16.6640625" style="3" customWidth="1"/>
    <col min="12544" max="12544" width="17.33203125" style="3" customWidth="1"/>
    <col min="12545" max="12545" width="15.5546875" style="3" customWidth="1"/>
    <col min="12546" max="12546" width="0" style="3" hidden="1"/>
    <col min="12547" max="12547" width="16.6640625" style="3" customWidth="1"/>
    <col min="12548" max="12548" width="17.44140625" style="3" customWidth="1"/>
    <col min="12549" max="12550" width="0" style="3" hidden="1"/>
    <col min="12551" max="12553" width="15.33203125" style="3" customWidth="1"/>
    <col min="12554" max="12554" width="17" style="3" customWidth="1"/>
    <col min="12555" max="12555" width="0" style="3" hidden="1"/>
    <col min="12556" max="12557" width="15.5546875" style="3" customWidth="1"/>
    <col min="12558" max="12558" width="13.6640625" style="3" customWidth="1"/>
    <col min="12559" max="12559" width="9" style="3" customWidth="1"/>
    <col min="12560" max="12560" width="49.88671875" style="3" customWidth="1"/>
    <col min="12561" max="12561" width="0" style="3" hidden="1"/>
    <col min="12562" max="12563" width="15.88671875" style="3" customWidth="1"/>
    <col min="12564" max="12564" width="14.5546875" style="3" customWidth="1"/>
    <col min="12565" max="12565" width="16.33203125" style="3" customWidth="1"/>
    <col min="12566" max="12566" width="18.109375" style="3" customWidth="1"/>
    <col min="12567" max="12567" width="14.109375" style="3" customWidth="1"/>
    <col min="12568" max="12794" width="0" style="3" hidden="1"/>
    <col min="12795" max="12795" width="7.5546875" style="3" customWidth="1"/>
    <col min="12796" max="12796" width="36.77734375" style="3" customWidth="1"/>
    <col min="12797" max="12798" width="0" style="3" hidden="1"/>
    <col min="12799" max="12799" width="16.6640625" style="3" customWidth="1"/>
    <col min="12800" max="12800" width="17.33203125" style="3" customWidth="1"/>
    <col min="12801" max="12801" width="15.5546875" style="3" customWidth="1"/>
    <col min="12802" max="12802" width="0" style="3" hidden="1"/>
    <col min="12803" max="12803" width="16.6640625" style="3" customWidth="1"/>
    <col min="12804" max="12804" width="17.44140625" style="3" customWidth="1"/>
    <col min="12805" max="12806" width="0" style="3" hidden="1"/>
    <col min="12807" max="12809" width="15.33203125" style="3" customWidth="1"/>
    <col min="12810" max="12810" width="17" style="3" customWidth="1"/>
    <col min="12811" max="12811" width="0" style="3" hidden="1"/>
    <col min="12812" max="12813" width="15.5546875" style="3" customWidth="1"/>
    <col min="12814" max="12814" width="13.6640625" style="3" customWidth="1"/>
    <col min="12815" max="12815" width="9" style="3" customWidth="1"/>
    <col min="12816" max="12816" width="49.88671875" style="3" customWidth="1"/>
    <col min="12817" max="12817" width="0" style="3" hidden="1"/>
    <col min="12818" max="12819" width="15.88671875" style="3" customWidth="1"/>
    <col min="12820" max="12820" width="14.5546875" style="3" customWidth="1"/>
    <col min="12821" max="12821" width="16.33203125" style="3" customWidth="1"/>
    <col min="12822" max="12822" width="18.109375" style="3" customWidth="1"/>
    <col min="12823" max="12823" width="14.109375" style="3" customWidth="1"/>
    <col min="12824" max="13050" width="0" style="3" hidden="1"/>
    <col min="13051" max="13051" width="7.5546875" style="3" customWidth="1"/>
    <col min="13052" max="13052" width="36.77734375" style="3" customWidth="1"/>
    <col min="13053" max="13054" width="0" style="3" hidden="1"/>
    <col min="13055" max="13055" width="16.6640625" style="3" customWidth="1"/>
    <col min="13056" max="13056" width="17.33203125" style="3" customWidth="1"/>
    <col min="13057" max="13057" width="15.5546875" style="3" customWidth="1"/>
    <col min="13058" max="13058" width="0" style="3" hidden="1"/>
    <col min="13059" max="13059" width="16.6640625" style="3" customWidth="1"/>
    <col min="13060" max="13060" width="17.44140625" style="3" customWidth="1"/>
    <col min="13061" max="13062" width="0" style="3" hidden="1"/>
    <col min="13063" max="13065" width="15.33203125" style="3" customWidth="1"/>
    <col min="13066" max="13066" width="17" style="3" customWidth="1"/>
    <col min="13067" max="13067" width="0" style="3" hidden="1"/>
    <col min="13068" max="13069" width="15.5546875" style="3" customWidth="1"/>
    <col min="13070" max="13070" width="13.6640625" style="3" customWidth="1"/>
    <col min="13071" max="13071" width="9" style="3" customWidth="1"/>
    <col min="13072" max="13072" width="49.88671875" style="3" customWidth="1"/>
    <col min="13073" max="13073" width="0" style="3" hidden="1"/>
    <col min="13074" max="13075" width="15.88671875" style="3" customWidth="1"/>
    <col min="13076" max="13076" width="14.5546875" style="3" customWidth="1"/>
    <col min="13077" max="13077" width="16.33203125" style="3" customWidth="1"/>
    <col min="13078" max="13078" width="18.109375" style="3" customWidth="1"/>
    <col min="13079" max="13079" width="14.109375" style="3" customWidth="1"/>
    <col min="13080" max="13306" width="0" style="3" hidden="1"/>
    <col min="13307" max="13307" width="7.5546875" style="3" customWidth="1"/>
    <col min="13308" max="13308" width="36.77734375" style="3" customWidth="1"/>
    <col min="13309" max="13310" width="0" style="3" hidden="1"/>
    <col min="13311" max="13311" width="16.6640625" style="3" customWidth="1"/>
    <col min="13312" max="13312" width="17.33203125" style="3" customWidth="1"/>
    <col min="13313" max="13313" width="15.5546875" style="3" customWidth="1"/>
    <col min="13314" max="13314" width="0" style="3" hidden="1"/>
    <col min="13315" max="13315" width="16.6640625" style="3" customWidth="1"/>
    <col min="13316" max="13316" width="17.44140625" style="3" customWidth="1"/>
    <col min="13317" max="13318" width="0" style="3" hidden="1"/>
    <col min="13319" max="13321" width="15.33203125" style="3" customWidth="1"/>
    <col min="13322" max="13322" width="17" style="3" customWidth="1"/>
    <col min="13323" max="13323" width="0" style="3" hidden="1"/>
    <col min="13324" max="13325" width="15.5546875" style="3" customWidth="1"/>
    <col min="13326" max="13326" width="13.6640625" style="3" customWidth="1"/>
    <col min="13327" max="13327" width="9" style="3" customWidth="1"/>
    <col min="13328" max="13328" width="49.88671875" style="3" customWidth="1"/>
    <col min="13329" max="13329" width="0" style="3" hidden="1"/>
    <col min="13330" max="13331" width="15.88671875" style="3" customWidth="1"/>
    <col min="13332" max="13332" width="14.5546875" style="3" customWidth="1"/>
    <col min="13333" max="13333" width="16.33203125" style="3" customWidth="1"/>
    <col min="13334" max="13334" width="18.109375" style="3" customWidth="1"/>
    <col min="13335" max="13335" width="14.109375" style="3" customWidth="1"/>
    <col min="13336" max="13562" width="0" style="3" hidden="1"/>
    <col min="13563" max="13563" width="7.5546875" style="3" customWidth="1"/>
    <col min="13564" max="13564" width="36.77734375" style="3" customWidth="1"/>
    <col min="13565" max="13566" width="0" style="3" hidden="1"/>
    <col min="13567" max="13567" width="16.6640625" style="3" customWidth="1"/>
    <col min="13568" max="13568" width="17.33203125" style="3" customWidth="1"/>
    <col min="13569" max="13569" width="15.5546875" style="3" customWidth="1"/>
    <col min="13570" max="13570" width="0" style="3" hidden="1"/>
    <col min="13571" max="13571" width="16.6640625" style="3" customWidth="1"/>
    <col min="13572" max="13572" width="17.44140625" style="3" customWidth="1"/>
    <col min="13573" max="13574" width="0" style="3" hidden="1"/>
    <col min="13575" max="13577" width="15.33203125" style="3" customWidth="1"/>
    <col min="13578" max="13578" width="17" style="3" customWidth="1"/>
    <col min="13579" max="13579" width="0" style="3" hidden="1"/>
    <col min="13580" max="13581" width="15.5546875" style="3" customWidth="1"/>
    <col min="13582" max="13582" width="13.6640625" style="3" customWidth="1"/>
    <col min="13583" max="13583" width="9" style="3" customWidth="1"/>
    <col min="13584" max="13584" width="49.88671875" style="3" customWidth="1"/>
    <col min="13585" max="13585" width="0" style="3" hidden="1"/>
    <col min="13586" max="13587" width="15.88671875" style="3" customWidth="1"/>
    <col min="13588" max="13588" width="14.5546875" style="3" customWidth="1"/>
    <col min="13589" max="13589" width="16.33203125" style="3" customWidth="1"/>
    <col min="13590" max="13590" width="18.109375" style="3" customWidth="1"/>
    <col min="13591" max="13591" width="14.109375" style="3" customWidth="1"/>
    <col min="13592" max="13818" width="0" style="3" hidden="1"/>
    <col min="13819" max="13819" width="7.5546875" style="3" customWidth="1"/>
    <col min="13820" max="13820" width="36.77734375" style="3" customWidth="1"/>
    <col min="13821" max="13822" width="0" style="3" hidden="1"/>
    <col min="13823" max="13823" width="16.6640625" style="3" customWidth="1"/>
    <col min="13824" max="13824" width="17.33203125" style="3" customWidth="1"/>
    <col min="13825" max="13825" width="15.5546875" style="3" customWidth="1"/>
    <col min="13826" max="13826" width="0" style="3" hidden="1"/>
    <col min="13827" max="13827" width="16.6640625" style="3" customWidth="1"/>
    <col min="13828" max="13828" width="17.44140625" style="3" customWidth="1"/>
    <col min="13829" max="13830" width="0" style="3" hidden="1"/>
    <col min="13831" max="13833" width="15.33203125" style="3" customWidth="1"/>
    <col min="13834" max="13834" width="17" style="3" customWidth="1"/>
    <col min="13835" max="13835" width="0" style="3" hidden="1"/>
    <col min="13836" max="13837" width="15.5546875" style="3" customWidth="1"/>
    <col min="13838" max="13838" width="13.6640625" style="3" customWidth="1"/>
    <col min="13839" max="13839" width="9" style="3" customWidth="1"/>
    <col min="13840" max="13840" width="49.88671875" style="3" customWidth="1"/>
    <col min="13841" max="13841" width="0" style="3" hidden="1"/>
    <col min="13842" max="13843" width="15.88671875" style="3" customWidth="1"/>
    <col min="13844" max="13844" width="14.5546875" style="3" customWidth="1"/>
    <col min="13845" max="13845" width="16.33203125" style="3" customWidth="1"/>
    <col min="13846" max="13846" width="18.109375" style="3" customWidth="1"/>
    <col min="13847" max="13847" width="14.109375" style="3" customWidth="1"/>
    <col min="13848" max="14074" width="0" style="3" hidden="1"/>
    <col min="14075" max="14075" width="7.5546875" style="3" customWidth="1"/>
    <col min="14076" max="14076" width="36.77734375" style="3" customWidth="1"/>
    <col min="14077" max="14078" width="0" style="3" hidden="1"/>
    <col min="14079" max="14079" width="16.6640625" style="3" customWidth="1"/>
    <col min="14080" max="14080" width="17.33203125" style="3" customWidth="1"/>
    <col min="14081" max="14081" width="15.5546875" style="3" customWidth="1"/>
    <col min="14082" max="14082" width="0" style="3" hidden="1"/>
    <col min="14083" max="14083" width="16.6640625" style="3" customWidth="1"/>
    <col min="14084" max="14084" width="17.44140625" style="3" customWidth="1"/>
    <col min="14085" max="14086" width="0" style="3" hidden="1"/>
    <col min="14087" max="14089" width="15.33203125" style="3" customWidth="1"/>
    <col min="14090" max="14090" width="17" style="3" customWidth="1"/>
    <col min="14091" max="14091" width="0" style="3" hidden="1"/>
    <col min="14092" max="14093" width="15.5546875" style="3" customWidth="1"/>
    <col min="14094" max="14094" width="13.6640625" style="3" customWidth="1"/>
    <col min="14095" max="14095" width="9" style="3" customWidth="1"/>
    <col min="14096" max="14096" width="49.88671875" style="3" customWidth="1"/>
    <col min="14097" max="14097" width="0" style="3" hidden="1"/>
    <col min="14098" max="14099" width="15.88671875" style="3" customWidth="1"/>
    <col min="14100" max="14100" width="14.5546875" style="3" customWidth="1"/>
    <col min="14101" max="14101" width="16.33203125" style="3" customWidth="1"/>
    <col min="14102" max="14102" width="18.109375" style="3" customWidth="1"/>
    <col min="14103" max="14103" width="14.109375" style="3" customWidth="1"/>
    <col min="14104" max="14330" width="0" style="3" hidden="1"/>
    <col min="14331" max="14331" width="7.5546875" style="3" customWidth="1"/>
    <col min="14332" max="14332" width="36.77734375" style="3" customWidth="1"/>
    <col min="14333" max="14334" width="0" style="3" hidden="1"/>
    <col min="14335" max="14335" width="16.6640625" style="3" customWidth="1"/>
    <col min="14336" max="14336" width="17.33203125" style="3" customWidth="1"/>
    <col min="14337" max="14337" width="15.5546875" style="3" customWidth="1"/>
    <col min="14338" max="14338" width="0" style="3" hidden="1"/>
    <col min="14339" max="14339" width="16.6640625" style="3" customWidth="1"/>
    <col min="14340" max="14340" width="17.44140625" style="3" customWidth="1"/>
    <col min="14341" max="14342" width="0" style="3" hidden="1"/>
    <col min="14343" max="14345" width="15.33203125" style="3" customWidth="1"/>
    <col min="14346" max="14346" width="17" style="3" customWidth="1"/>
    <col min="14347" max="14347" width="0" style="3" hidden="1"/>
    <col min="14348" max="14349" width="15.5546875" style="3" customWidth="1"/>
    <col min="14350" max="14350" width="13.6640625" style="3" customWidth="1"/>
    <col min="14351" max="14351" width="9" style="3" customWidth="1"/>
    <col min="14352" max="14352" width="49.88671875" style="3" customWidth="1"/>
    <col min="14353" max="14353" width="0" style="3" hidden="1"/>
    <col min="14354" max="14355" width="15.88671875" style="3" customWidth="1"/>
    <col min="14356" max="14356" width="14.5546875" style="3" customWidth="1"/>
    <col min="14357" max="14357" width="16.33203125" style="3" customWidth="1"/>
    <col min="14358" max="14358" width="18.109375" style="3" customWidth="1"/>
    <col min="14359" max="14359" width="14.109375" style="3" customWidth="1"/>
    <col min="14360" max="14586" width="0" style="3" hidden="1"/>
    <col min="14587" max="14587" width="7.5546875" style="3" customWidth="1"/>
    <col min="14588" max="14588" width="36.77734375" style="3" customWidth="1"/>
    <col min="14589" max="14590" width="0" style="3" hidden="1"/>
    <col min="14591" max="14591" width="16.6640625" style="3" customWidth="1"/>
    <col min="14592" max="14592" width="17.33203125" style="3" customWidth="1"/>
    <col min="14593" max="14593" width="15.5546875" style="3" customWidth="1"/>
    <col min="14594" max="14594" width="0" style="3" hidden="1"/>
    <col min="14595" max="14595" width="16.6640625" style="3" customWidth="1"/>
    <col min="14596" max="14596" width="17.44140625" style="3" customWidth="1"/>
    <col min="14597" max="14598" width="0" style="3" hidden="1"/>
    <col min="14599" max="14601" width="15.33203125" style="3" customWidth="1"/>
    <col min="14602" max="14602" width="17" style="3" customWidth="1"/>
    <col min="14603" max="14603" width="0" style="3" hidden="1"/>
    <col min="14604" max="14605" width="15.5546875" style="3" customWidth="1"/>
    <col min="14606" max="14606" width="13.6640625" style="3" customWidth="1"/>
    <col min="14607" max="14607" width="9" style="3" customWidth="1"/>
    <col min="14608" max="14608" width="49.88671875" style="3" customWidth="1"/>
    <col min="14609" max="14609" width="0" style="3" hidden="1"/>
    <col min="14610" max="14611" width="15.88671875" style="3" customWidth="1"/>
    <col min="14612" max="14612" width="14.5546875" style="3" customWidth="1"/>
    <col min="14613" max="14613" width="16.33203125" style="3" customWidth="1"/>
    <col min="14614" max="14614" width="18.109375" style="3" customWidth="1"/>
    <col min="14615" max="14615" width="14.109375" style="3" customWidth="1"/>
    <col min="14616" max="14842" width="0" style="3" hidden="1"/>
    <col min="14843" max="14843" width="7.5546875" style="3" customWidth="1"/>
    <col min="14844" max="14844" width="36.77734375" style="3" customWidth="1"/>
    <col min="14845" max="14846" width="0" style="3" hidden="1"/>
    <col min="14847" max="14847" width="16.6640625" style="3" customWidth="1"/>
    <col min="14848" max="14848" width="17.33203125" style="3" customWidth="1"/>
    <col min="14849" max="14849" width="15.5546875" style="3" customWidth="1"/>
    <col min="14850" max="14850" width="0" style="3" hidden="1"/>
    <col min="14851" max="14851" width="16.6640625" style="3" customWidth="1"/>
    <col min="14852" max="14852" width="17.44140625" style="3" customWidth="1"/>
    <col min="14853" max="14854" width="0" style="3" hidden="1"/>
    <col min="14855" max="14857" width="15.33203125" style="3" customWidth="1"/>
    <col min="14858" max="14858" width="17" style="3" customWidth="1"/>
    <col min="14859" max="14859" width="0" style="3" hidden="1"/>
    <col min="14860" max="14861" width="15.5546875" style="3" customWidth="1"/>
    <col min="14862" max="14862" width="13.6640625" style="3" customWidth="1"/>
    <col min="14863" max="14863" width="9" style="3" customWidth="1"/>
    <col min="14864" max="14864" width="49.88671875" style="3" customWidth="1"/>
    <col min="14865" max="14865" width="0" style="3" hidden="1"/>
    <col min="14866" max="14867" width="15.88671875" style="3" customWidth="1"/>
    <col min="14868" max="14868" width="14.5546875" style="3" customWidth="1"/>
    <col min="14869" max="14869" width="16.33203125" style="3" customWidth="1"/>
    <col min="14870" max="14870" width="18.109375" style="3" customWidth="1"/>
    <col min="14871" max="14871" width="14.109375" style="3" customWidth="1"/>
    <col min="14872" max="15098" width="0" style="3" hidden="1"/>
    <col min="15099" max="15099" width="7.5546875" style="3" customWidth="1"/>
    <col min="15100" max="15100" width="36.77734375" style="3" customWidth="1"/>
    <col min="15101" max="15102" width="0" style="3" hidden="1"/>
    <col min="15103" max="15103" width="16.6640625" style="3" customWidth="1"/>
    <col min="15104" max="15104" width="17.33203125" style="3" customWidth="1"/>
    <col min="15105" max="15105" width="15.5546875" style="3" customWidth="1"/>
    <col min="15106" max="15106" width="0" style="3" hidden="1"/>
    <col min="15107" max="15107" width="16.6640625" style="3" customWidth="1"/>
    <col min="15108" max="15108" width="17.44140625" style="3" customWidth="1"/>
    <col min="15109" max="15110" width="0" style="3" hidden="1"/>
    <col min="15111" max="15113" width="15.33203125" style="3" customWidth="1"/>
    <col min="15114" max="15114" width="17" style="3" customWidth="1"/>
    <col min="15115" max="15115" width="0" style="3" hidden="1"/>
    <col min="15116" max="15117" width="15.5546875" style="3" customWidth="1"/>
    <col min="15118" max="15118" width="13.6640625" style="3" customWidth="1"/>
    <col min="15119" max="15119" width="9" style="3" customWidth="1"/>
    <col min="15120" max="15120" width="49.88671875" style="3" customWidth="1"/>
    <col min="15121" max="15121" width="0" style="3" hidden="1"/>
    <col min="15122" max="15123" width="15.88671875" style="3" customWidth="1"/>
    <col min="15124" max="15124" width="14.5546875" style="3" customWidth="1"/>
    <col min="15125" max="15125" width="16.33203125" style="3" customWidth="1"/>
    <col min="15126" max="15126" width="18.109375" style="3" customWidth="1"/>
    <col min="15127" max="15127" width="14.109375" style="3" customWidth="1"/>
    <col min="15128" max="15354" width="0" style="3" hidden="1"/>
    <col min="15355" max="15355" width="7.5546875" style="3" customWidth="1"/>
    <col min="15356" max="15356" width="36.77734375" style="3" customWidth="1"/>
    <col min="15357" max="15358" width="0" style="3" hidden="1"/>
    <col min="15359" max="15359" width="16.6640625" style="3" customWidth="1"/>
    <col min="15360" max="15360" width="17.33203125" style="3" customWidth="1"/>
    <col min="15361" max="15361" width="15.5546875" style="3" customWidth="1"/>
    <col min="15362" max="15362" width="0" style="3" hidden="1"/>
    <col min="15363" max="15363" width="16.6640625" style="3" customWidth="1"/>
    <col min="15364" max="15364" width="17.44140625" style="3" customWidth="1"/>
    <col min="15365" max="15366" width="0" style="3" hidden="1"/>
    <col min="15367" max="15369" width="15.33203125" style="3" customWidth="1"/>
    <col min="15370" max="15370" width="17" style="3" customWidth="1"/>
    <col min="15371" max="15371" width="0" style="3" hidden="1"/>
    <col min="15372" max="15373" width="15.5546875" style="3" customWidth="1"/>
    <col min="15374" max="15374" width="13.6640625" style="3" customWidth="1"/>
    <col min="15375" max="15375" width="9" style="3" customWidth="1"/>
    <col min="15376" max="15376" width="49.88671875" style="3" customWidth="1"/>
    <col min="15377" max="15377" width="0" style="3" hidden="1"/>
    <col min="15378" max="15379" width="15.88671875" style="3" customWidth="1"/>
    <col min="15380" max="15380" width="14.5546875" style="3" customWidth="1"/>
    <col min="15381" max="15381" width="16.33203125" style="3" customWidth="1"/>
    <col min="15382" max="15382" width="18.109375" style="3" customWidth="1"/>
    <col min="15383" max="15383" width="14.109375" style="3" customWidth="1"/>
    <col min="15384" max="15610" width="0" style="3" hidden="1"/>
    <col min="15611" max="15611" width="7.5546875" style="3" customWidth="1"/>
    <col min="15612" max="15612" width="36.77734375" style="3" customWidth="1"/>
    <col min="15613" max="15614" width="0" style="3" hidden="1"/>
    <col min="15615" max="15615" width="16.6640625" style="3" customWidth="1"/>
    <col min="15616" max="15616" width="17.33203125" style="3" customWidth="1"/>
    <col min="15617" max="15617" width="15.5546875" style="3" customWidth="1"/>
    <col min="15618" max="15618" width="0" style="3" hidden="1"/>
    <col min="15619" max="15619" width="16.6640625" style="3" customWidth="1"/>
    <col min="15620" max="15620" width="17.44140625" style="3" customWidth="1"/>
    <col min="15621" max="15622" width="0" style="3" hidden="1"/>
    <col min="15623" max="15625" width="15.33203125" style="3" customWidth="1"/>
    <col min="15626" max="15626" width="17" style="3" customWidth="1"/>
    <col min="15627" max="15627" width="0" style="3" hidden="1"/>
    <col min="15628" max="15629" width="15.5546875" style="3" customWidth="1"/>
    <col min="15630" max="15630" width="13.6640625" style="3" customWidth="1"/>
    <col min="15631" max="15631" width="9" style="3" customWidth="1"/>
    <col min="15632" max="15632" width="49.88671875" style="3" customWidth="1"/>
    <col min="15633" max="15633" width="0" style="3" hidden="1"/>
    <col min="15634" max="15635" width="15.88671875" style="3" customWidth="1"/>
    <col min="15636" max="15636" width="14.5546875" style="3" customWidth="1"/>
    <col min="15637" max="15637" width="16.33203125" style="3" customWidth="1"/>
    <col min="15638" max="15638" width="18.109375" style="3" customWidth="1"/>
    <col min="15639" max="15639" width="14.109375" style="3" customWidth="1"/>
    <col min="15640" max="15866" width="0" style="3" hidden="1"/>
    <col min="15867" max="15867" width="7.5546875" style="3" customWidth="1"/>
    <col min="15868" max="15868" width="36.77734375" style="3" customWidth="1"/>
    <col min="15869" max="15870" width="0" style="3" hidden="1"/>
    <col min="15871" max="15871" width="16.6640625" style="3" customWidth="1"/>
    <col min="15872" max="15872" width="17.33203125" style="3" customWidth="1"/>
    <col min="15873" max="15873" width="15.5546875" style="3" customWidth="1"/>
    <col min="15874" max="15874" width="0" style="3" hidden="1"/>
    <col min="15875" max="15875" width="16.6640625" style="3" customWidth="1"/>
    <col min="15876" max="15876" width="17.44140625" style="3" customWidth="1"/>
    <col min="15877" max="15878" width="0" style="3" hidden="1"/>
    <col min="15879" max="15881" width="15.33203125" style="3" customWidth="1"/>
    <col min="15882" max="15882" width="17" style="3" customWidth="1"/>
    <col min="15883" max="15883" width="0" style="3" hidden="1"/>
    <col min="15884" max="15885" width="15.5546875" style="3" customWidth="1"/>
    <col min="15886" max="15886" width="13.6640625" style="3" customWidth="1"/>
    <col min="15887" max="15887" width="9" style="3" customWidth="1"/>
    <col min="15888" max="15888" width="49.88671875" style="3" customWidth="1"/>
    <col min="15889" max="15889" width="0" style="3" hidden="1"/>
    <col min="15890" max="15891" width="15.88671875" style="3" customWidth="1"/>
    <col min="15892" max="15892" width="14.5546875" style="3" customWidth="1"/>
    <col min="15893" max="15893" width="16.33203125" style="3" customWidth="1"/>
    <col min="15894" max="15894" width="18.109375" style="3" customWidth="1"/>
    <col min="15895" max="15895" width="14.109375" style="3" customWidth="1"/>
    <col min="15896" max="16122" width="0" style="3" hidden="1"/>
    <col min="16123" max="16123" width="7.5546875" style="3" customWidth="1"/>
    <col min="16124" max="16124" width="36.77734375" style="3" customWidth="1"/>
    <col min="16125" max="16126" width="0" style="3" hidden="1"/>
    <col min="16127" max="16127" width="16.6640625" style="3" customWidth="1"/>
    <col min="16128" max="16128" width="17.33203125" style="3" customWidth="1"/>
    <col min="16129" max="16129" width="15.5546875" style="3" customWidth="1"/>
    <col min="16130" max="16130" width="0" style="3" hidden="1"/>
    <col min="16131" max="16131" width="16.6640625" style="3" customWidth="1"/>
    <col min="16132" max="16132" width="17.44140625" style="3" customWidth="1"/>
    <col min="16133" max="16134" width="0" style="3" hidden="1"/>
    <col min="16135" max="16137" width="15.33203125" style="3" customWidth="1"/>
    <col min="16138" max="16138" width="17" style="3" customWidth="1"/>
    <col min="16139" max="16139" width="0" style="3" hidden="1"/>
    <col min="16140" max="16141" width="15.5546875" style="3" customWidth="1"/>
    <col min="16142" max="16142" width="13.6640625" style="3" customWidth="1"/>
    <col min="16143" max="16143" width="9" style="3" customWidth="1"/>
    <col min="16144" max="16144" width="49.88671875" style="3" customWidth="1"/>
    <col min="16145" max="16145" width="0" style="3" hidden="1"/>
    <col min="16146" max="16147" width="15.88671875" style="3" customWidth="1"/>
    <col min="16148" max="16148" width="14.5546875" style="3" customWidth="1"/>
    <col min="16149" max="16149" width="16.33203125" style="3" customWidth="1"/>
    <col min="16150" max="16150" width="18.109375" style="3" customWidth="1"/>
    <col min="16151" max="16151" width="14.109375" style="3" customWidth="1"/>
    <col min="16152" max="16384" width="0" style="3" hidden="1"/>
  </cols>
  <sheetData>
    <row r="1" spans="1:252" ht="24.75" customHeight="1">
      <c r="A1" s="103" t="s">
        <v>62</v>
      </c>
      <c r="B1" s="1"/>
      <c r="C1" s="1"/>
      <c r="D1" s="1"/>
      <c r="E1" s="1"/>
      <c r="F1" s="38"/>
      <c r="G1" s="42"/>
      <c r="H1" s="42"/>
      <c r="I1" s="38"/>
      <c r="J1" s="38"/>
      <c r="K1" s="38"/>
      <c r="L1" s="1"/>
      <c r="M1" s="1"/>
      <c r="N1" s="1"/>
      <c r="O1" s="1"/>
      <c r="P1" s="1"/>
      <c r="Q1" s="38"/>
      <c r="R1" s="38"/>
      <c r="S1" s="1"/>
      <c r="T1" s="2"/>
      <c r="U1" s="1"/>
      <c r="V1" s="2"/>
      <c r="W1" s="3"/>
    </row>
    <row r="2" spans="1:252" ht="24.75" customHeight="1">
      <c r="A2" s="104" t="s">
        <v>114</v>
      </c>
      <c r="B2" s="5"/>
      <c r="C2" s="5"/>
      <c r="D2" s="5"/>
      <c r="E2" s="5"/>
      <c r="F2" s="39"/>
      <c r="G2" s="43"/>
      <c r="H2" s="43"/>
      <c r="I2" s="39"/>
      <c r="J2" s="39"/>
      <c r="K2" s="39"/>
      <c r="L2" s="5"/>
      <c r="M2" s="5"/>
      <c r="N2" s="5"/>
      <c r="O2" s="5"/>
      <c r="P2" s="5"/>
      <c r="Q2" s="39"/>
      <c r="R2" s="39"/>
      <c r="S2" s="5"/>
      <c r="T2" s="6"/>
      <c r="U2" s="5"/>
      <c r="V2" s="6"/>
      <c r="W2" s="3"/>
    </row>
    <row r="3" spans="1:252" ht="26.25" customHeight="1">
      <c r="A3" s="7" t="s">
        <v>92</v>
      </c>
      <c r="B3" s="7"/>
      <c r="C3" s="8"/>
      <c r="D3" s="8"/>
      <c r="E3" s="8"/>
      <c r="F3" s="10"/>
      <c r="G3" s="23"/>
      <c r="H3" s="23"/>
      <c r="I3" s="10"/>
      <c r="J3" s="10"/>
      <c r="K3" s="10"/>
      <c r="L3" s="9"/>
      <c r="M3" s="9"/>
      <c r="N3" s="9"/>
      <c r="O3" s="9"/>
      <c r="P3" s="9"/>
      <c r="Q3" s="10"/>
      <c r="R3" s="10"/>
      <c r="S3" s="13"/>
      <c r="U3" s="13"/>
      <c r="V3" s="12"/>
      <c r="W3" s="3"/>
    </row>
    <row r="4" spans="1:252" ht="22.2" customHeight="1" thickBot="1">
      <c r="A4" s="14"/>
      <c r="B4" s="14"/>
      <c r="C4" s="8"/>
      <c r="D4" s="8"/>
      <c r="E4" s="8"/>
      <c r="F4" s="10"/>
      <c r="G4" s="23"/>
      <c r="H4" s="23"/>
      <c r="I4" s="10"/>
      <c r="J4" s="10"/>
      <c r="K4" s="10"/>
      <c r="L4" s="93">
        <v>0.05</v>
      </c>
      <c r="M4" s="93">
        <v>0.25</v>
      </c>
      <c r="N4" s="154"/>
      <c r="O4" s="154"/>
      <c r="P4" s="154"/>
      <c r="Q4" s="155">
        <v>0.25</v>
      </c>
      <c r="R4" s="10"/>
      <c r="S4" s="13"/>
      <c r="U4" s="13"/>
      <c r="V4" s="12"/>
      <c r="W4" s="3"/>
    </row>
    <row r="5" spans="1:252" s="16" customFormat="1" ht="60.6" thickBot="1">
      <c r="A5" s="248" t="s">
        <v>0</v>
      </c>
      <c r="B5" s="249" t="s">
        <v>39</v>
      </c>
      <c r="C5" s="161" t="s">
        <v>1</v>
      </c>
      <c r="D5" s="161" t="s">
        <v>6</v>
      </c>
      <c r="E5" s="292" t="s">
        <v>44</v>
      </c>
      <c r="F5" s="250" t="s">
        <v>31</v>
      </c>
      <c r="G5" s="251" t="s">
        <v>36</v>
      </c>
      <c r="H5" s="220" t="s">
        <v>95</v>
      </c>
      <c r="I5" s="252" t="s">
        <v>37</v>
      </c>
      <c r="J5" s="162" t="s">
        <v>40</v>
      </c>
      <c r="K5" s="162" t="s">
        <v>102</v>
      </c>
      <c r="L5" s="163" t="s">
        <v>103</v>
      </c>
      <c r="M5" s="163" t="s">
        <v>104</v>
      </c>
      <c r="N5" s="162" t="s">
        <v>105</v>
      </c>
      <c r="O5" s="218" t="s">
        <v>99</v>
      </c>
      <c r="P5" s="218" t="s">
        <v>100</v>
      </c>
      <c r="Q5" s="218" t="s">
        <v>101</v>
      </c>
      <c r="R5" s="164" t="s">
        <v>106</v>
      </c>
      <c r="S5" s="107" t="s">
        <v>38</v>
      </c>
      <c r="T5" s="293" t="s">
        <v>42</v>
      </c>
      <c r="U5" s="294" t="s">
        <v>7</v>
      </c>
      <c r="V5" s="15"/>
    </row>
    <row r="6" spans="1:252" s="122" customFormat="1" ht="23.4" customHeight="1">
      <c r="A6" s="261">
        <v>1</v>
      </c>
      <c r="B6" s="262" t="s">
        <v>108</v>
      </c>
      <c r="C6" s="263" t="s">
        <v>109</v>
      </c>
      <c r="D6" s="264" t="s">
        <v>70</v>
      </c>
      <c r="E6" s="264" t="s">
        <v>50</v>
      </c>
      <c r="F6" s="265">
        <v>4542.0600000000004</v>
      </c>
      <c r="G6" s="266">
        <v>243892</v>
      </c>
      <c r="H6" s="267"/>
      <c r="I6" s="268">
        <f>Table13514520105[[#This Row],[ค่าบริการรายเดือนตาม Package]]+Table13514520105[[#This Row],[รายการเบิก
คอมขายเพิ่มเติม
(เป้าตามกำหนด)
100-200%]]</f>
        <v>4542.0600000000004</v>
      </c>
      <c r="J6" s="267"/>
      <c r="K6" s="267"/>
      <c r="L6" s="269">
        <f>IF(Table13514520105[[#This Row],[ค่าขายอุปกรณ์]]&gt;Table13514520105[[#This Row],[ต้นทุนค่าขายอุปกรณ์]],Table13514520105[[#This Row],[ต้นทุนค่าขายอุปกรณ์]]*$L$4,Table13514520105[[#This Row],[ค่าขายอุปกรณ์]]*$L$4)</f>
        <v>0</v>
      </c>
      <c r="M6" s="269">
        <f>IF(Table13514520105[[#This Row],[ค่าขายอุปกรณ์]]&gt;Table13514520105[[#This Row],[ต้นทุนค่าขายอุปกรณ์]],SUM(Table13514520105[[#This Row],[ค่าขายอุปกรณ์]]-Table13514520105[[#This Row],[ต้นทุนค่าขายอุปกรณ์]])*$M$4,0)</f>
        <v>0</v>
      </c>
      <c r="N6" s="270">
        <f>Table13514520105[[#This Row],[คอมฯอุปกรณ์
 5%]]+Table13514520105[[#This Row],[คอมฯ อุปกรณ์
25%]]</f>
        <v>0</v>
      </c>
      <c r="O6" s="271"/>
      <c r="P6" s="271"/>
      <c r="Q6"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6" s="273">
        <f>Table13514520105[[#This Row],[รายการเบิก
คอมขาย]]+Table13514520105[[#This Row],[Total
คอมฯ อุปกรณ์]]+Table13514520105[[#This Row],[Total 
คอมฯค่าติดตั้ง/ค่าเชื่อมสัญญาณ]]</f>
        <v>4542.0600000000004</v>
      </c>
      <c r="S6" s="274" t="s">
        <v>111</v>
      </c>
      <c r="T6" s="275" t="s">
        <v>113</v>
      </c>
      <c r="U6" s="276" t="s">
        <v>112</v>
      </c>
      <c r="V6" s="3"/>
      <c r="W6" s="326" t="s">
        <v>116</v>
      </c>
      <c r="X6" s="326"/>
      <c r="Y6" s="326"/>
      <c r="Z6" s="326"/>
      <c r="AA6" s="326"/>
      <c r="AB6" s="326"/>
      <c r="AC6" s="326"/>
      <c r="AD6" s="326"/>
      <c r="AE6" s="326"/>
      <c r="AF6" s="326"/>
      <c r="AG6" s="326"/>
      <c r="AH6" s="326"/>
      <c r="AI6" s="326"/>
      <c r="AJ6" s="326"/>
      <c r="AK6" s="326"/>
      <c r="AL6" s="326"/>
      <c r="AM6" s="326"/>
      <c r="AN6" s="326"/>
      <c r="AO6" s="326"/>
      <c r="AP6" s="326"/>
      <c r="AQ6" s="326"/>
      <c r="AR6" s="326"/>
      <c r="AS6" s="326"/>
      <c r="AT6" s="326"/>
      <c r="AU6" s="326"/>
      <c r="AV6" s="326"/>
      <c r="AW6" s="326"/>
      <c r="AX6" s="326"/>
      <c r="AY6" s="326"/>
      <c r="AZ6" s="326"/>
      <c r="BA6" s="326"/>
      <c r="BB6" s="326"/>
      <c r="BC6" s="326"/>
      <c r="BD6" s="326"/>
      <c r="BE6" s="326"/>
      <c r="BF6" s="326"/>
      <c r="BG6" s="326"/>
      <c r="BH6" s="326"/>
      <c r="BI6" s="326"/>
      <c r="BJ6" s="326"/>
      <c r="BK6" s="326"/>
      <c r="BL6" s="326"/>
      <c r="BM6" s="326"/>
      <c r="BN6" s="326"/>
      <c r="BO6" s="326"/>
      <c r="BP6" s="326"/>
      <c r="BQ6" s="326"/>
      <c r="BR6" s="326"/>
      <c r="BS6" s="326"/>
      <c r="BT6" s="326"/>
      <c r="BU6" s="326"/>
      <c r="BV6" s="326"/>
      <c r="BW6" s="326"/>
      <c r="BX6" s="326"/>
      <c r="BY6" s="326"/>
      <c r="BZ6" s="326"/>
      <c r="CA6" s="326"/>
      <c r="CB6" s="326"/>
      <c r="CC6" s="326"/>
      <c r="CD6" s="326"/>
      <c r="CE6" s="326"/>
      <c r="CF6" s="326"/>
      <c r="CG6" s="326"/>
      <c r="CH6" s="326"/>
      <c r="CI6" s="326"/>
      <c r="CJ6" s="326"/>
      <c r="CK6" s="326"/>
      <c r="CL6" s="326"/>
      <c r="CM6" s="326"/>
      <c r="CN6" s="326"/>
      <c r="CO6" s="326"/>
      <c r="CP6" s="326"/>
      <c r="CQ6" s="326"/>
      <c r="CR6" s="326"/>
      <c r="CS6" s="326"/>
      <c r="CT6" s="326"/>
      <c r="CU6" s="326"/>
      <c r="CV6" s="326"/>
      <c r="CW6" s="326"/>
      <c r="CX6" s="326"/>
      <c r="CY6" s="326"/>
      <c r="CZ6" s="326"/>
      <c r="DA6" s="326"/>
      <c r="DB6" s="326"/>
      <c r="DC6" s="326"/>
      <c r="DD6" s="326"/>
      <c r="DE6" s="326"/>
      <c r="DF6" s="326"/>
      <c r="DG6" s="326"/>
      <c r="DH6" s="326"/>
      <c r="DI6" s="326"/>
      <c r="DJ6" s="326"/>
      <c r="DK6" s="326"/>
      <c r="DL6" s="326"/>
      <c r="DM6" s="326"/>
      <c r="DN6" s="326"/>
      <c r="DO6" s="326"/>
      <c r="DP6" s="326"/>
      <c r="DQ6" s="326"/>
      <c r="DR6" s="326"/>
      <c r="DS6" s="326"/>
      <c r="DT6" s="326"/>
      <c r="DU6" s="326"/>
      <c r="DV6" s="326"/>
      <c r="DW6" s="326"/>
      <c r="DX6" s="326"/>
      <c r="DY6" s="326"/>
      <c r="DZ6" s="326"/>
      <c r="EA6" s="326"/>
      <c r="EB6" s="326"/>
      <c r="EC6" s="326"/>
      <c r="ED6" s="326"/>
      <c r="EE6" s="326"/>
      <c r="EF6" s="326"/>
      <c r="EG6" s="326"/>
      <c r="EH6" s="326"/>
      <c r="EI6" s="326"/>
      <c r="EJ6" s="326"/>
      <c r="EK6" s="326"/>
      <c r="EL6" s="326"/>
      <c r="EM6" s="326"/>
      <c r="EN6" s="326"/>
      <c r="EO6" s="326"/>
      <c r="EP6" s="326"/>
      <c r="EQ6" s="326"/>
      <c r="ER6" s="326"/>
      <c r="ES6" s="326"/>
      <c r="ET6" s="326"/>
      <c r="EU6" s="326"/>
      <c r="EV6" s="326"/>
      <c r="EW6" s="326"/>
      <c r="EX6" s="326"/>
      <c r="EY6" s="326"/>
      <c r="EZ6" s="326"/>
      <c r="FA6" s="326"/>
      <c r="FB6" s="326"/>
      <c r="FC6" s="326"/>
      <c r="FD6" s="326"/>
      <c r="FE6" s="326"/>
      <c r="FF6" s="326"/>
      <c r="FG6" s="326"/>
      <c r="FH6" s="326"/>
      <c r="FI6" s="326"/>
      <c r="FJ6" s="326"/>
      <c r="FK6" s="326"/>
      <c r="FL6" s="326"/>
      <c r="FM6" s="326"/>
      <c r="FN6" s="326"/>
      <c r="FO6" s="326"/>
      <c r="FP6" s="326"/>
      <c r="FQ6" s="326"/>
      <c r="FR6" s="326"/>
      <c r="FS6" s="326"/>
      <c r="FT6" s="326"/>
      <c r="FU6" s="326"/>
      <c r="FV6" s="326"/>
      <c r="FW6" s="326"/>
      <c r="FX6" s="326"/>
      <c r="FY6" s="326"/>
      <c r="FZ6" s="326"/>
      <c r="GA6" s="326"/>
      <c r="GB6" s="326"/>
      <c r="GC6" s="326"/>
      <c r="GD6" s="326"/>
      <c r="GE6" s="326"/>
      <c r="GF6" s="326"/>
      <c r="GG6" s="326"/>
      <c r="GH6" s="326"/>
      <c r="GI6" s="326"/>
      <c r="GJ6" s="326"/>
      <c r="GK6" s="326"/>
      <c r="GL6" s="326"/>
      <c r="GM6" s="326"/>
      <c r="GN6" s="326"/>
      <c r="GO6" s="326"/>
      <c r="GP6" s="326"/>
      <c r="GQ6" s="326"/>
      <c r="GR6" s="326"/>
      <c r="GS6" s="326"/>
      <c r="GT6" s="326"/>
      <c r="GU6" s="326"/>
      <c r="GV6" s="326"/>
      <c r="GW6" s="326"/>
      <c r="GX6" s="326"/>
      <c r="GY6" s="326"/>
      <c r="GZ6" s="326"/>
      <c r="HA6" s="326"/>
      <c r="HB6" s="326"/>
      <c r="HC6" s="326"/>
      <c r="HD6" s="326"/>
      <c r="HE6" s="326"/>
      <c r="HF6" s="326"/>
      <c r="HG6" s="326"/>
      <c r="HH6" s="326"/>
      <c r="HI6" s="326"/>
      <c r="HJ6" s="326"/>
      <c r="HK6" s="326"/>
      <c r="HL6" s="326"/>
      <c r="HM6" s="326"/>
      <c r="HN6" s="326"/>
      <c r="HO6" s="326"/>
      <c r="HP6" s="326"/>
      <c r="HQ6" s="326"/>
      <c r="HR6" s="326"/>
      <c r="HS6" s="326"/>
      <c r="HT6" s="326"/>
      <c r="HU6" s="326"/>
      <c r="HV6" s="326"/>
      <c r="HW6" s="326"/>
      <c r="HX6" s="326"/>
      <c r="HY6" s="326"/>
      <c r="HZ6" s="326"/>
      <c r="IA6" s="326"/>
      <c r="IB6" s="326"/>
      <c r="IC6" s="326"/>
      <c r="ID6" s="326"/>
      <c r="IE6" s="326"/>
      <c r="IF6" s="326"/>
      <c r="IG6" s="326"/>
      <c r="IH6" s="326"/>
      <c r="II6" s="326"/>
      <c r="IJ6" s="326"/>
      <c r="IK6" s="326"/>
      <c r="IL6" s="326"/>
      <c r="IM6" s="326"/>
      <c r="IN6" s="326"/>
      <c r="IO6" s="326"/>
      <c r="IP6" s="326"/>
      <c r="IQ6" s="326"/>
      <c r="IR6" s="326"/>
    </row>
    <row r="7" spans="1:252" s="122" customFormat="1" ht="23.4" customHeight="1">
      <c r="A7" s="123">
        <v>1.1000000000000001</v>
      </c>
      <c r="B7" s="124"/>
      <c r="C7" s="17" t="s">
        <v>110</v>
      </c>
      <c r="D7" s="28"/>
      <c r="E7" s="28"/>
      <c r="F7" s="34"/>
      <c r="G7" s="36"/>
      <c r="H7" s="118"/>
      <c r="I7" s="40"/>
      <c r="J7" s="114"/>
      <c r="K7" s="115"/>
      <c r="L7" s="125"/>
      <c r="M7" s="126"/>
      <c r="N7" s="126"/>
      <c r="O7" s="126"/>
      <c r="P7" s="126"/>
      <c r="Q7" s="40"/>
      <c r="R7" s="238"/>
      <c r="S7" s="98"/>
      <c r="T7" s="148"/>
      <c r="U7" s="143"/>
      <c r="V7" s="3"/>
    </row>
    <row r="8" spans="1:252" s="122" customFormat="1" ht="23.4" customHeight="1" thickBot="1">
      <c r="A8" s="295">
        <v>1.2</v>
      </c>
      <c r="B8" s="296"/>
      <c r="C8" s="297"/>
      <c r="D8" s="282"/>
      <c r="E8" s="282"/>
      <c r="F8" s="283"/>
      <c r="G8" s="284"/>
      <c r="H8" s="298"/>
      <c r="I8" s="285"/>
      <c r="J8" s="283"/>
      <c r="K8" s="283"/>
      <c r="L8" s="286"/>
      <c r="M8" s="286"/>
      <c r="N8" s="286"/>
      <c r="O8" s="286"/>
      <c r="P8" s="286"/>
      <c r="Q8" s="285"/>
      <c r="R8" s="299"/>
      <c r="S8" s="288"/>
      <c r="T8" s="300"/>
      <c r="U8" s="301"/>
      <c r="V8" s="101"/>
    </row>
    <row r="9" spans="1:252" s="122" customFormat="1" ht="23.4" customHeight="1">
      <c r="A9" s="261">
        <v>2</v>
      </c>
      <c r="B9" s="262" t="s">
        <v>117</v>
      </c>
      <c r="C9" s="263" t="s">
        <v>118</v>
      </c>
      <c r="D9" s="264" t="s">
        <v>72</v>
      </c>
      <c r="E9" s="264" t="s">
        <v>50</v>
      </c>
      <c r="F9" s="265">
        <v>4000</v>
      </c>
      <c r="G9" s="266">
        <v>243923</v>
      </c>
      <c r="H9" s="267"/>
      <c r="I9" s="268">
        <f>Table13514520105[[#This Row],[ค่าบริการรายเดือนตาม Package]]+Table13514520105[[#This Row],[รายการเบิก
คอมขายเพิ่มเติม
(เป้าตามกำหนด)
100-200%]]</f>
        <v>4000</v>
      </c>
      <c r="J9" s="267"/>
      <c r="K9" s="267"/>
      <c r="L9" s="269">
        <f>IF(Table13514520105[[#This Row],[ค่าขายอุปกรณ์]]&gt;Table13514520105[[#This Row],[ต้นทุนค่าขายอุปกรณ์]],Table13514520105[[#This Row],[ต้นทุนค่าขายอุปกรณ์]]*$L$4,Table13514520105[[#This Row],[ค่าขายอุปกรณ์]]*$L$4)</f>
        <v>0</v>
      </c>
      <c r="M9" s="269">
        <f>IF(Table13514520105[[#This Row],[ค่าขายอุปกรณ์]]&gt;Table13514520105[[#This Row],[ต้นทุนค่าขายอุปกรณ์]],SUM(Table13514520105[[#This Row],[ค่าขายอุปกรณ์]]-Table13514520105[[#This Row],[ต้นทุนค่าขายอุปกรณ์]])*$M$4,0)</f>
        <v>0</v>
      </c>
      <c r="N9" s="270">
        <f>Table13514520105[[#This Row],[คอมฯอุปกรณ์
 5%]]+Table13514520105[[#This Row],[คอมฯ อุปกรณ์
25%]]</f>
        <v>0</v>
      </c>
      <c r="O9" s="271"/>
      <c r="P9" s="271"/>
      <c r="Q9"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9" s="273">
        <f>Table13514520105[[#This Row],[รายการเบิก
คอมขาย]]+Table13514520105[[#This Row],[Total
คอมฯ อุปกรณ์]]+Table13514520105[[#This Row],[Total 
คอมฯค่าติดตั้ง/ค่าเชื่อมสัญญาณ]]</f>
        <v>4000</v>
      </c>
      <c r="S9" s="274" t="s">
        <v>120</v>
      </c>
      <c r="T9" s="275" t="s">
        <v>132</v>
      </c>
      <c r="U9" s="276" t="s">
        <v>107</v>
      </c>
      <c r="V9" s="277"/>
    </row>
    <row r="10" spans="1:252" s="122" customFormat="1" ht="23.4" customHeight="1">
      <c r="A10" s="123"/>
      <c r="B10" s="124"/>
      <c r="C10" s="17" t="s">
        <v>119</v>
      </c>
      <c r="D10" s="28"/>
      <c r="E10" s="28"/>
      <c r="F10" s="34"/>
      <c r="G10" s="36"/>
      <c r="H10" s="118"/>
      <c r="I10" s="40"/>
      <c r="J10" s="114"/>
      <c r="K10" s="115"/>
      <c r="L10" s="125"/>
      <c r="M10" s="126"/>
      <c r="N10" s="126"/>
      <c r="O10" s="126"/>
      <c r="P10" s="126"/>
      <c r="Q10" s="40"/>
      <c r="R10" s="238"/>
      <c r="S10" s="98"/>
      <c r="T10" s="148"/>
      <c r="U10" s="143"/>
      <c r="V10" s="278"/>
    </row>
    <row r="11" spans="1:252" s="258" customFormat="1" ht="23.4" customHeight="1" thickBot="1">
      <c r="A11" s="279"/>
      <c r="B11" s="280"/>
      <c r="C11" s="281"/>
      <c r="D11" s="282"/>
      <c r="E11" s="282"/>
      <c r="F11" s="283"/>
      <c r="G11" s="284"/>
      <c r="H11" s="284"/>
      <c r="I11" s="285"/>
      <c r="J11" s="283"/>
      <c r="K11" s="283"/>
      <c r="L11" s="286"/>
      <c r="M11" s="286"/>
      <c r="N11" s="286"/>
      <c r="O11" s="286"/>
      <c r="P11" s="286"/>
      <c r="Q11" s="285"/>
      <c r="R11" s="287"/>
      <c r="S11" s="288"/>
      <c r="T11" s="289"/>
      <c r="U11" s="290"/>
      <c r="V11" s="291"/>
    </row>
    <row r="12" spans="1:252" s="258" customFormat="1" ht="23.4" customHeight="1">
      <c r="A12" s="255">
        <v>3</v>
      </c>
      <c r="B12" s="256" t="s">
        <v>121</v>
      </c>
      <c r="C12" s="259" t="s">
        <v>122</v>
      </c>
      <c r="D12" s="264" t="s">
        <v>67</v>
      </c>
      <c r="E12" s="264" t="s">
        <v>50</v>
      </c>
      <c r="F12" s="35">
        <v>3500</v>
      </c>
      <c r="G12" s="327">
        <v>243923</v>
      </c>
      <c r="H12" s="37"/>
      <c r="I12" s="268">
        <f>Table13514520105[[#This Row],[ค่าบริการรายเดือนตาม Package]]+Table13514520105[[#This Row],[รายการเบิก
คอมขายเพิ่มเติม
(เป้าตามกำหนด)
100-200%]]</f>
        <v>3500</v>
      </c>
      <c r="J12" s="35"/>
      <c r="K12" s="35"/>
      <c r="L12" s="253"/>
      <c r="M12" s="269">
        <f>IF(Table13514520105[[#This Row],[ค่าขายอุปกรณ์]]&gt;Table13514520105[[#This Row],[ต้นทุนค่าขายอุปกรณ์]],SUM(Table13514520105[[#This Row],[ค่าขายอุปกรณ์]]-Table13514520105[[#This Row],[ต้นทุนค่าขายอุปกรณ์]])*$M$4,0)</f>
        <v>0</v>
      </c>
      <c r="N12" s="270">
        <f>Table13514520105[[#This Row],[คอมฯอุปกรณ์
 5%]]+Table13514520105[[#This Row],[คอมฯ อุปกรณ์
25%]]</f>
        <v>0</v>
      </c>
      <c r="O12" s="126"/>
      <c r="P12" s="126"/>
      <c r="Q12"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2" s="273">
        <f>Table13514520105[[#This Row],[รายการเบิก
คอมขาย]]+Table13514520105[[#This Row],[Total
คอมฯ อุปกรณ์]]+Table13514520105[[#This Row],[Total 
คอมฯค่าติดตั้ง/ค่าเชื่อมสัญญาณ]]</f>
        <v>3500</v>
      </c>
      <c r="S12" s="100" t="s">
        <v>124</v>
      </c>
      <c r="T12" s="275" t="s">
        <v>132</v>
      </c>
      <c r="U12" s="145" t="s">
        <v>107</v>
      </c>
      <c r="V12" s="131"/>
    </row>
    <row r="13" spans="1:252" s="258" customFormat="1" ht="23.4" customHeight="1">
      <c r="A13" s="255"/>
      <c r="B13" s="256"/>
      <c r="C13" s="259" t="s">
        <v>123</v>
      </c>
      <c r="D13" s="29"/>
      <c r="E13" s="260"/>
      <c r="F13" s="35"/>
      <c r="G13" s="37"/>
      <c r="H13" s="37"/>
      <c r="I13" s="41"/>
      <c r="J13" s="35"/>
      <c r="K13" s="35"/>
      <c r="L13" s="253"/>
      <c r="M13" s="126"/>
      <c r="N13" s="126"/>
      <c r="O13" s="126"/>
      <c r="P13" s="126"/>
      <c r="Q13" s="254"/>
      <c r="R13" s="257"/>
      <c r="S13" s="100"/>
      <c r="T13" s="151"/>
      <c r="U13" s="145"/>
      <c r="V13" s="131"/>
    </row>
    <row r="14" spans="1:252" s="258" customFormat="1" ht="23.4" customHeight="1" thickBot="1">
      <c r="A14" s="255"/>
      <c r="B14" s="256"/>
      <c r="C14" s="259"/>
      <c r="D14" s="29"/>
      <c r="E14" s="260"/>
      <c r="F14" s="35"/>
      <c r="G14" s="37"/>
      <c r="H14" s="37"/>
      <c r="I14" s="41"/>
      <c r="J14" s="35"/>
      <c r="K14" s="35"/>
      <c r="L14" s="253"/>
      <c r="M14" s="126"/>
      <c r="N14" s="126"/>
      <c r="O14" s="126"/>
      <c r="P14" s="126"/>
      <c r="Q14" s="254"/>
      <c r="R14" s="257"/>
      <c r="S14" s="100"/>
      <c r="T14" s="151"/>
      <c r="U14" s="145"/>
      <c r="V14" s="131"/>
    </row>
    <row r="15" spans="1:252" s="122" customFormat="1" ht="23.4" customHeight="1">
      <c r="A15" s="315">
        <v>4</v>
      </c>
      <c r="B15" s="316" t="s">
        <v>125</v>
      </c>
      <c r="C15" s="317" t="s">
        <v>127</v>
      </c>
      <c r="D15" s="264" t="s">
        <v>68</v>
      </c>
      <c r="E15" s="264" t="s">
        <v>50</v>
      </c>
      <c r="F15" s="267">
        <v>6500</v>
      </c>
      <c r="G15" s="266">
        <v>243923</v>
      </c>
      <c r="H15" s="267"/>
      <c r="I15" s="268">
        <f>Table13514520105[[#This Row],[ค่าบริการรายเดือนตาม Package]]+Table13514520105[[#This Row],[รายการเบิก
คอมขายเพิ่มเติม
(เป้าตามกำหนด)
100-200%]]</f>
        <v>6500</v>
      </c>
      <c r="J15" s="267"/>
      <c r="K15" s="267"/>
      <c r="L15" s="269">
        <f>IF(Table13514520105[[#This Row],[ค่าขายอุปกรณ์]]&gt;Table13514520105[[#This Row],[ต้นทุนค่าขายอุปกรณ์]],Table13514520105[[#This Row],[ต้นทุนค่าขายอุปกรณ์]]*$L$4,Table13514520105[[#This Row],[ค่าขายอุปกรณ์]]*$L$4)</f>
        <v>0</v>
      </c>
      <c r="M15" s="269">
        <f>IF(Table13514520105[[#This Row],[ค่าขายอุปกรณ์]]&gt;Table13514520105[[#This Row],[ต้นทุนค่าขายอุปกรณ์]],SUM(Table13514520105[[#This Row],[ค่าขายอุปกรณ์]]-Table13514520105[[#This Row],[ต้นทุนค่าขายอุปกรณ์]])*$M$4,0)</f>
        <v>0</v>
      </c>
      <c r="N15" s="270">
        <f>Table13514520105[[#This Row],[คอมฯอุปกรณ์
 5%]]+Table13514520105[[#This Row],[คอมฯ อุปกรณ์
25%]]</f>
        <v>0</v>
      </c>
      <c r="O15" s="269"/>
      <c r="P15" s="269"/>
      <c r="Q15"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5" s="273">
        <f>Table13514520105[[#This Row],[รายการเบิก
คอมขาย]]+Table13514520105[[#This Row],[Total
คอมฯ อุปกรณ์]]+Table13514520105[[#This Row],[Total 
คอมฯค่าติดตั้ง/ค่าเชื่อมสัญญาณ]]</f>
        <v>6500</v>
      </c>
      <c r="S15" s="274" t="s">
        <v>128</v>
      </c>
      <c r="T15" s="275" t="s">
        <v>133</v>
      </c>
      <c r="U15" s="318" t="s">
        <v>129</v>
      </c>
      <c r="V15" s="3"/>
    </row>
    <row r="16" spans="1:252" s="122" customFormat="1" ht="23.4" customHeight="1">
      <c r="A16" s="123">
        <v>3.1</v>
      </c>
      <c r="B16" s="130"/>
      <c r="C16" s="202" t="s">
        <v>126</v>
      </c>
      <c r="D16" s="117"/>
      <c r="E16" s="116"/>
      <c r="F16" s="117"/>
      <c r="G16" s="118"/>
      <c r="H16" s="118"/>
      <c r="I16" s="40"/>
      <c r="J16" s="97"/>
      <c r="K16" s="102"/>
      <c r="L16" s="132"/>
      <c r="M16" s="133"/>
      <c r="N16" s="126"/>
      <c r="O16" s="133"/>
      <c r="P16" s="133"/>
      <c r="Q16" s="40"/>
      <c r="R16" s="238"/>
      <c r="S16" s="98"/>
      <c r="T16" s="150"/>
      <c r="U16" s="319"/>
      <c r="V16" s="99"/>
    </row>
    <row r="17" spans="1:23" s="122" customFormat="1" ht="23.4" customHeight="1" thickBot="1">
      <c r="A17" s="295">
        <v>3.2</v>
      </c>
      <c r="B17" s="296"/>
      <c r="C17" s="320"/>
      <c r="D17" s="321"/>
      <c r="E17" s="322"/>
      <c r="F17" s="283"/>
      <c r="G17" s="284"/>
      <c r="H17" s="298"/>
      <c r="I17" s="285"/>
      <c r="J17" s="323"/>
      <c r="K17" s="323"/>
      <c r="L17" s="324"/>
      <c r="M17" s="324"/>
      <c r="N17" s="286"/>
      <c r="O17" s="324"/>
      <c r="P17" s="324"/>
      <c r="Q17" s="285"/>
      <c r="R17" s="299"/>
      <c r="S17" s="288"/>
      <c r="T17" s="289"/>
      <c r="U17" s="325"/>
      <c r="V17" s="131"/>
    </row>
    <row r="18" spans="1:23" s="122" customFormat="1" ht="23.4" hidden="1" customHeight="1">
      <c r="A18" s="302">
        <v>5</v>
      </c>
      <c r="B18" s="303"/>
      <c r="C18" s="304"/>
      <c r="D18" s="116"/>
      <c r="E18" s="116"/>
      <c r="F18" s="305"/>
      <c r="G18" s="306"/>
      <c r="H18" s="305"/>
      <c r="I18" s="307">
        <f>Table13514520105[[#This Row],[ค่าบริการรายเดือนตาม Package]]+Table13514520105[[#This Row],[รายการเบิก
คอมขายเพิ่มเติม
(เป้าตามกำหนด)
100-200%]]</f>
        <v>0</v>
      </c>
      <c r="J18" s="305"/>
      <c r="K18" s="308"/>
      <c r="L18" s="309">
        <f>IF(Table13514520105[[#This Row],[ค่าขายอุปกรณ์]]&gt;Table13514520105[[#This Row],[ต้นทุนค่าขายอุปกรณ์]],Table13514520105[[#This Row],[ต้นทุนค่าขายอุปกรณ์]]*$L$4,Table13514520105[[#This Row],[ค่าขายอุปกรณ์]]*$L$4)</f>
        <v>0</v>
      </c>
      <c r="M18" s="309">
        <f>IF(Table13514520105[[#This Row],[ค่าขายอุปกรณ์]]&gt;Table13514520105[[#This Row],[ต้นทุนค่าขายอุปกรณ์]],SUM(Table13514520105[[#This Row],[ค่าขายอุปกรณ์]]-Table13514520105[[#This Row],[ต้นทุนค่าขายอุปกรณ์]])*$M$4,0)</f>
        <v>0</v>
      </c>
      <c r="N18" s="310">
        <f>Table13514520105[[#This Row],[คอมฯอุปกรณ์
 5%]]+Table13514520105[[#This Row],[คอมฯ อุปกรณ์
25%]]</f>
        <v>0</v>
      </c>
      <c r="O18" s="309"/>
      <c r="P18" s="309"/>
      <c r="Q18" s="311">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8" s="239">
        <f>Table13514520105[[#This Row],[รายการเบิก
คอมขาย]]+Table13514520105[[#This Row],[Total
คอมฯ อุปกรณ์]]+Table13514520105[[#This Row],[Total 
คอมฯค่าติดตั้ง/ค่าเชื่อมสัญญาณ]]</f>
        <v>0</v>
      </c>
      <c r="S18" s="312"/>
      <c r="T18" s="313"/>
      <c r="U18" s="314"/>
      <c r="V18" s="3"/>
    </row>
    <row r="19" spans="1:23" s="122" customFormat="1" ht="23.4" hidden="1" customHeight="1">
      <c r="A19" s="123">
        <v>5.0999999999999996</v>
      </c>
      <c r="B19" s="130"/>
      <c r="C19" s="242"/>
      <c r="D19" s="116"/>
      <c r="E19" s="116"/>
      <c r="F19" s="117"/>
      <c r="G19" s="118"/>
      <c r="H19" s="118"/>
      <c r="I19" s="40"/>
      <c r="J19" s="97"/>
      <c r="K19" s="102"/>
      <c r="L19" s="132"/>
      <c r="M19" s="133"/>
      <c r="N19" s="126"/>
      <c r="O19" s="133"/>
      <c r="P19" s="133"/>
      <c r="Q19" s="40"/>
      <c r="R19" s="238"/>
      <c r="S19" s="98"/>
      <c r="T19" s="148"/>
      <c r="U19" s="144"/>
      <c r="V19" s="99"/>
    </row>
    <row r="20" spans="1:23" s="122" customFormat="1" ht="23.4" hidden="1" customHeight="1" thickBot="1">
      <c r="A20" s="127">
        <v>5.2</v>
      </c>
      <c r="B20" s="124"/>
      <c r="C20" s="92"/>
      <c r="D20" s="116"/>
      <c r="E20" s="116"/>
      <c r="F20" s="117"/>
      <c r="G20" s="118"/>
      <c r="H20" s="118"/>
      <c r="I20" s="41"/>
      <c r="J20" s="117"/>
      <c r="K20" s="117"/>
      <c r="L20" s="133"/>
      <c r="M20" s="133"/>
      <c r="N20" s="126"/>
      <c r="O20" s="133"/>
      <c r="P20" s="133"/>
      <c r="Q20" s="41"/>
      <c r="R20" s="239"/>
      <c r="S20" s="100"/>
      <c r="T20" s="149"/>
      <c r="U20" s="145"/>
      <c r="V20" s="101"/>
    </row>
    <row r="21" spans="1:23" s="122" customFormat="1" ht="23.4" hidden="1" customHeight="1">
      <c r="A21" s="243">
        <v>6</v>
      </c>
      <c r="B21" s="128"/>
      <c r="C21" s="129"/>
      <c r="D21" s="27"/>
      <c r="E21" s="27"/>
      <c r="F21" s="120"/>
      <c r="G21" s="221"/>
      <c r="H21" s="120"/>
      <c r="I21" s="219">
        <f>Table13514520105[[#This Row],[ค่าบริการรายเดือนตาม Package]]+Table13514520105[[#This Row],[รายการเบิก
คอมขายเพิ่มเติม
(เป้าตามกำหนด)
100-200%]]</f>
        <v>0</v>
      </c>
      <c r="J21" s="120"/>
      <c r="K21" s="33"/>
      <c r="L21" s="121">
        <f>IF(Table13514520105[[#This Row],[ค่าขายอุปกรณ์]]&gt;Table13514520105[[#This Row],[ต้นทุนค่าขายอุปกรณ์]],Table13514520105[[#This Row],[ต้นทุนค่าขายอุปกรณ์]]*$L$4,Table13514520105[[#This Row],[ค่าขายอุปกรณ์]]*$L$4)</f>
        <v>0</v>
      </c>
      <c r="M21" s="121">
        <f>IF(Table13514520105[[#This Row],[ค่าขายอุปกรณ์]]&gt;Table13514520105[[#This Row],[ต้นทุนค่าขายอุปกรณ์]],SUM(Table13514520105[[#This Row],[ค่าขายอุปกรณ์]]-Table13514520105[[#This Row],[ต้นทุนค่าขายอุปกรณ์]])*$M$4,0)</f>
        <v>0</v>
      </c>
      <c r="N21" s="236">
        <f>Table13514520105[[#This Row],[คอมฯอุปกรณ์
 5%]]+Table13514520105[[#This Row],[คอมฯ อุปกรณ์
25%]]</f>
        <v>0</v>
      </c>
      <c r="O21" s="121"/>
      <c r="P21" s="121"/>
      <c r="Q21"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1" s="237">
        <f>Table13514520105[[#This Row],[รายการเบิก
คอมขาย]]+Table13514520105[[#This Row],[Total
คอมฯ อุปกรณ์]]+Table13514520105[[#This Row],[Total 
คอมฯค่าติดตั้ง/ค่าเชื่อมสัญญาณ]]</f>
        <v>0</v>
      </c>
      <c r="S21" s="167"/>
      <c r="T21" s="147"/>
      <c r="U21" s="203"/>
      <c r="V21" s="3"/>
    </row>
    <row r="22" spans="1:23" s="122" customFormat="1" ht="23.4" hidden="1" customHeight="1">
      <c r="A22" s="244">
        <v>7.1</v>
      </c>
      <c r="B22" s="130"/>
      <c r="C22" s="140"/>
      <c r="D22" s="116"/>
      <c r="E22" s="116"/>
      <c r="F22" s="117"/>
      <c r="G22" s="118"/>
      <c r="H22" s="118"/>
      <c r="I22" s="40"/>
      <c r="J22" s="97"/>
      <c r="K22" s="102"/>
      <c r="L22" s="132"/>
      <c r="M22" s="133"/>
      <c r="N22" s="126"/>
      <c r="O22" s="133"/>
      <c r="P22" s="133"/>
      <c r="Q22" s="40"/>
      <c r="R22" s="238"/>
      <c r="S22" s="168"/>
      <c r="T22" s="204"/>
      <c r="U22" s="205"/>
      <c r="V22" s="3"/>
    </row>
    <row r="23" spans="1:23" s="122" customFormat="1" ht="23.4" hidden="1" customHeight="1" thickBot="1">
      <c r="A23" s="127">
        <v>7.2</v>
      </c>
      <c r="B23" s="124"/>
      <c r="C23" s="92"/>
      <c r="D23" s="116"/>
      <c r="E23" s="116"/>
      <c r="F23" s="117"/>
      <c r="G23" s="118"/>
      <c r="H23" s="118"/>
      <c r="I23" s="41"/>
      <c r="J23" s="117"/>
      <c r="K23" s="117"/>
      <c r="L23" s="133"/>
      <c r="M23" s="133"/>
      <c r="N23" s="126"/>
      <c r="O23" s="133"/>
      <c r="P23" s="133"/>
      <c r="Q23" s="41"/>
      <c r="R23" s="239"/>
      <c r="S23" s="170"/>
      <c r="T23" s="149"/>
      <c r="U23" s="30"/>
      <c r="V23" s="3"/>
    </row>
    <row r="24" spans="1:23" s="122" customFormat="1" ht="23.4" hidden="1" customHeight="1">
      <c r="A24" s="243">
        <v>7</v>
      </c>
      <c r="B24" s="245"/>
      <c r="C24" s="129"/>
      <c r="D24" s="27"/>
      <c r="E24" s="27"/>
      <c r="F24" s="120"/>
      <c r="G24" s="221"/>
      <c r="H24" s="120"/>
      <c r="I24" s="219">
        <f>Table13514520105[[#This Row],[ค่าบริการรายเดือนตาม Package]]+Table13514520105[[#This Row],[รายการเบิก
คอมขายเพิ่มเติม
(เป้าตามกำหนด)
100-200%]]</f>
        <v>0</v>
      </c>
      <c r="J24" s="120"/>
      <c r="K24" s="153"/>
      <c r="L24" s="121">
        <f>IF(Table13514520105[[#This Row],[ค่าขายอุปกรณ์]]&gt;Table13514520105[[#This Row],[ต้นทุนค่าขายอุปกรณ์]],Table13514520105[[#This Row],[ต้นทุนค่าขายอุปกรณ์]]*$L$4,Table13514520105[[#This Row],[ค่าขายอุปกรณ์]]*$L$4)</f>
        <v>0</v>
      </c>
      <c r="M24" s="121">
        <f>IF(Table13514520105[[#This Row],[ค่าขายอุปกรณ์]]&gt;Table13514520105[[#This Row],[ต้นทุนค่าขายอุปกรณ์]],SUM(Table13514520105[[#This Row],[ค่าขายอุปกรณ์]]-Table13514520105[[#This Row],[ต้นทุนค่าขายอุปกรณ์]])*$M$4,0)</f>
        <v>0</v>
      </c>
      <c r="N24" s="236">
        <f>Table13514520105[[#This Row],[คอมฯอุปกรณ์
 5%]]+Table13514520105[[#This Row],[คอมฯ อุปกรณ์
25%]]</f>
        <v>0</v>
      </c>
      <c r="O24" s="121"/>
      <c r="P24" s="153"/>
      <c r="Q24"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4" s="237">
        <f>Table13514520105[[#This Row],[รายการเบิก
คอมขาย]]+Table13514520105[[#This Row],[Total
คอมฯ อุปกรณ์]]+Table13514520105[[#This Row],[Total 
คอมฯค่าติดตั้ง/ค่าเชื่อมสัญญาณ]]</f>
        <v>0</v>
      </c>
      <c r="S24" s="167"/>
      <c r="T24" s="147"/>
      <c r="U24" s="203"/>
      <c r="V24" s="3"/>
    </row>
    <row r="25" spans="1:23" s="122" customFormat="1" ht="23.4" hidden="1" customHeight="1">
      <c r="A25" s="244">
        <v>8.1</v>
      </c>
      <c r="B25" s="124"/>
      <c r="C25" s="242"/>
      <c r="D25" s="116"/>
      <c r="E25" s="116"/>
      <c r="F25" s="117"/>
      <c r="G25" s="118"/>
      <c r="H25" s="118"/>
      <c r="I25" s="40"/>
      <c r="J25" s="97"/>
      <c r="K25" s="102"/>
      <c r="L25" s="132"/>
      <c r="M25" s="133"/>
      <c r="N25" s="126"/>
      <c r="O25" s="133"/>
      <c r="P25" s="133"/>
      <c r="Q25" s="40"/>
      <c r="R25" s="238"/>
      <c r="S25" s="98"/>
      <c r="T25" s="169"/>
      <c r="U25" s="205"/>
      <c r="V25" s="3"/>
    </row>
    <row r="26" spans="1:23" s="122" customFormat="1" ht="82.2" hidden="1" customHeight="1" thickBot="1">
      <c r="A26" s="127">
        <v>8.1999999999999993</v>
      </c>
      <c r="B26" s="124"/>
      <c r="C26" s="235"/>
      <c r="D26" s="116"/>
      <c r="E26" s="116"/>
      <c r="F26" s="117"/>
      <c r="G26" s="118"/>
      <c r="H26" s="118"/>
      <c r="I26" s="41"/>
      <c r="J26" s="117"/>
      <c r="K26" s="117"/>
      <c r="L26" s="133"/>
      <c r="M26" s="133"/>
      <c r="N26" s="126"/>
      <c r="O26" s="133"/>
      <c r="P26" s="133"/>
      <c r="Q26" s="41"/>
      <c r="R26" s="239"/>
      <c r="S26" s="170"/>
      <c r="T26" s="166"/>
      <c r="U26" s="30"/>
      <c r="V26" s="171"/>
    </row>
    <row r="27" spans="1:23" ht="22.95" hidden="1" customHeight="1">
      <c r="A27" s="240">
        <v>8</v>
      </c>
      <c r="B27" s="241"/>
      <c r="C27" s="129"/>
      <c r="D27" s="27"/>
      <c r="E27" s="27"/>
      <c r="F27" s="120"/>
      <c r="G27" s="246"/>
      <c r="H27" s="120"/>
      <c r="I27" s="219">
        <f>Table13514520105[[#This Row],[ค่าบริการรายเดือนตาม Package]]+Table13514520105[[#This Row],[รายการเบิก
คอมขายเพิ่มเติม
(เป้าตามกำหนด)
100-200%]]</f>
        <v>0</v>
      </c>
      <c r="J27" s="120"/>
      <c r="K27" s="153"/>
      <c r="L27" s="121">
        <f>IF(Table13514520105[[#This Row],[ค่าขายอุปกรณ์]]&gt;Table13514520105[[#This Row],[ต้นทุนค่าขายอุปกรณ์]],Table13514520105[[#This Row],[ต้นทุนค่าขายอุปกรณ์]]*$L$4,Table13514520105[[#This Row],[ค่าขายอุปกรณ์]]*$L$4)</f>
        <v>0</v>
      </c>
      <c r="M27" s="121">
        <f>IF(Table13514520105[[#This Row],[ค่าขายอุปกรณ์]]&gt;Table13514520105[[#This Row],[ต้นทุนค่าขายอุปกรณ์]],SUM(Table13514520105[[#This Row],[ค่าขายอุปกรณ์]]-Table13514520105[[#This Row],[ต้นทุนค่าขายอุปกรณ์]])*$M$4,0)</f>
        <v>0</v>
      </c>
      <c r="N27" s="236">
        <f>Table13514520105[[#This Row],[คอมฯอุปกรณ์
 5%]]+Table13514520105[[#This Row],[คอมฯ อุปกรณ์
25%]]</f>
        <v>0</v>
      </c>
      <c r="O27" s="121"/>
      <c r="P27" s="121"/>
      <c r="Q27"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7" s="237">
        <f>Table13514520105[[#This Row],[รายการเบิก
คอมขาย]]+Table13514520105[[#This Row],[Total
คอมฯ อุปกรณ์]]+Table13514520105[[#This Row],[Total 
คอมฯค่าติดตั้ง/ค่าเชื่อมสัญญาณ]]</f>
        <v>0</v>
      </c>
      <c r="S27" s="167"/>
      <c r="T27" s="165"/>
      <c r="U27" s="203"/>
      <c r="V27" s="3"/>
      <c r="W27" s="3"/>
    </row>
    <row r="28" spans="1:23" s="122" customFormat="1" ht="23.4" hidden="1" customHeight="1">
      <c r="A28" s="244">
        <v>9.1</v>
      </c>
      <c r="B28" s="124"/>
      <c r="C28" s="242"/>
      <c r="D28" s="116"/>
      <c r="E28" s="116"/>
      <c r="F28" s="117"/>
      <c r="G28" s="118"/>
      <c r="H28" s="118"/>
      <c r="I28" s="40"/>
      <c r="J28" s="97"/>
      <c r="K28" s="102"/>
      <c r="L28" s="132"/>
      <c r="M28" s="133"/>
      <c r="N28" s="126"/>
      <c r="O28" s="133"/>
      <c r="P28" s="133"/>
      <c r="Q28" s="40"/>
      <c r="R28" s="238"/>
      <c r="S28" s="168"/>
      <c r="T28" s="169"/>
      <c r="U28" s="205"/>
      <c r="V28" s="3"/>
    </row>
    <row r="29" spans="1:23" ht="25.5" hidden="1" customHeight="1">
      <c r="A29" s="127">
        <v>9.1999999999999993</v>
      </c>
      <c r="B29" s="124"/>
      <c r="C29" s="92"/>
      <c r="D29" s="116"/>
      <c r="E29" s="116"/>
      <c r="F29" s="117"/>
      <c r="G29" s="118"/>
      <c r="H29" s="118"/>
      <c r="I29" s="41"/>
      <c r="J29" s="117"/>
      <c r="K29" s="117"/>
      <c r="L29" s="133"/>
      <c r="M29" s="133"/>
      <c r="N29" s="126"/>
      <c r="O29" s="133"/>
      <c r="P29" s="133"/>
      <c r="Q29" s="41"/>
      <c r="R29" s="239"/>
      <c r="S29" s="206"/>
      <c r="T29" s="207"/>
      <c r="U29" s="208"/>
      <c r="V29" s="171"/>
      <c r="W29" s="3"/>
    </row>
    <row r="30" spans="1:23" ht="29.25" customHeight="1" thickBot="1">
      <c r="A30" s="108"/>
      <c r="B30" s="109"/>
      <c r="C30" s="110" t="s">
        <v>5</v>
      </c>
      <c r="D30" s="111"/>
      <c r="E30" s="111"/>
      <c r="F30" s="137">
        <f>SUBTOTAL(109,Table13514520105[ค่าบริการรายเดือนตาม Package])</f>
        <v>18542.060000000001</v>
      </c>
      <c r="G30" s="112"/>
      <c r="H30" s="137">
        <f>SUBTOTAL(109,Table13514520105[รายการเบิก
คอมขายเพิ่มเติม
(เป้าตามกำหนด)
100-200%])</f>
        <v>0</v>
      </c>
      <c r="I30" s="137">
        <f>SUBTOTAL(109,Table13514520105[รายการเบิก
คอมขาย])</f>
        <v>18542.060000000001</v>
      </c>
      <c r="J30" s="137">
        <f>SUBTOTAL(109,Table13514520105[ค่าขายอุปกรณ์])</f>
        <v>0</v>
      </c>
      <c r="K30" s="137">
        <f>SUBTOTAL(109,Table13514520105[ต้นทุนค่าขายอุปกรณ์])</f>
        <v>0</v>
      </c>
      <c r="L30" s="137">
        <f>SUBTOTAL(109,Table13514520105[คอมฯอุปกรณ์
 5%])</f>
        <v>0</v>
      </c>
      <c r="M30" s="137">
        <f>SUBTOTAL(109,Table13514520105[คอมฯ อุปกรณ์
25%])</f>
        <v>0</v>
      </c>
      <c r="N30" s="137"/>
      <c r="O30" s="137"/>
      <c r="P30" s="137"/>
      <c r="Q30" s="137">
        <f>SUBTOTAL(109,Table13514520105[Total 
คอมฯค่าติดตั้ง/ค่าเชื่อมสัญญาณ])</f>
        <v>0</v>
      </c>
      <c r="R30" s="139">
        <f>SUBTOTAL(109,Table13514520105[รวมค่าคอมฯ])</f>
        <v>18542.060000000001</v>
      </c>
      <c r="S30" s="112">
        <f>SUBTOTAL(109,Table13514520105[เลขที่ใบกำกับ/ใบเสร็จรับเงิน])</f>
        <v>0</v>
      </c>
      <c r="T30" s="152">
        <f>SUBTOTAL(109,Table13514520105[เลขที่นำส่งเงิน
])</f>
        <v>0</v>
      </c>
      <c r="U30" s="146"/>
      <c r="V30" s="247"/>
      <c r="W30" s="3"/>
    </row>
    <row r="31" spans="1:23" ht="15.6">
      <c r="A31" s="18"/>
      <c r="B31" s="18"/>
      <c r="C31" s="19"/>
      <c r="D31" s="19"/>
      <c r="E31" s="19"/>
      <c r="F31" s="10"/>
      <c r="G31" s="23"/>
      <c r="H31" s="23"/>
      <c r="I31" s="10"/>
      <c r="J31" s="10"/>
      <c r="K31" s="10"/>
      <c r="L31" s="20"/>
      <c r="M31" s="20"/>
      <c r="N31" s="20"/>
      <c r="O31" s="20"/>
      <c r="P31" s="20"/>
      <c r="Q31" s="10"/>
      <c r="R31" s="10"/>
      <c r="S31" s="22"/>
      <c r="T31" s="21"/>
      <c r="U31" s="22"/>
      <c r="W31" s="22"/>
    </row>
    <row r="32" spans="1:23" ht="28.5" customHeight="1">
      <c r="L32" s="31"/>
      <c r="M32" s="31"/>
      <c r="N32" s="31"/>
      <c r="O32" s="31"/>
      <c r="P32" s="31"/>
      <c r="S32" s="24"/>
      <c r="U32" s="24"/>
    </row>
    <row r="33" spans="3:21" ht="28.5" customHeight="1">
      <c r="S33" s="4"/>
      <c r="U33" s="4"/>
    </row>
    <row r="34" spans="3:21" ht="28.5" hidden="1" customHeight="1">
      <c r="S34" s="25"/>
      <c r="T34" s="106"/>
      <c r="U34" s="25"/>
    </row>
    <row r="35" spans="3:21" ht="28.5" hidden="1" customHeight="1">
      <c r="S35" s="25"/>
      <c r="T35" s="106"/>
      <c r="U35" s="25"/>
    </row>
    <row r="36" spans="3:21" ht="15" hidden="1">
      <c r="C36" s="4"/>
      <c r="D36" s="31"/>
      <c r="E36" s="31"/>
    </row>
    <row r="37" spans="3:21" ht="15" hidden="1">
      <c r="C37" s="26"/>
      <c r="D37" s="32"/>
      <c r="E37" s="32"/>
    </row>
    <row r="38" spans="3:21" ht="15" hidden="1"/>
    <row r="166" spans="10:10" ht="15" hidden="1">
      <c r="J166" s="31">
        <v>3</v>
      </c>
    </row>
  </sheetData>
  <sheetProtection formatCells="0" insertRows="0" insertHyperlinks="0" deleteRows="0" sort="0" autoFilter="0" pivotTables="0"/>
  <phoneticPr fontId="20" type="noConversion"/>
  <dataValidations count="3">
    <dataValidation type="list" allowBlank="1" showInputMessage="1" showErrorMessage="1" sqref="JH65536:JH65565 TD65536:TD65565 ACZ65536:ACZ65565 AMV65536:AMV65565 AWR65536:AWR65565 BGN65536:BGN65565 BQJ65536:BQJ65565 CAF65536:CAF65565 CKB65536:CKB65565 CTX65536:CTX65565 DDT65536:DDT65565 DNP65536:DNP65565 DXL65536:DXL65565 EHH65536:EHH65565 ERD65536:ERD65565 FAZ65536:FAZ65565 FKV65536:FKV65565 FUR65536:FUR65565 GEN65536:GEN65565 GOJ65536:GOJ65565 GYF65536:GYF65565 HIB65536:HIB65565 HRX65536:HRX65565 IBT65536:IBT65565 ILP65536:ILP65565 IVL65536:IVL65565 JFH65536:JFH65565 JPD65536:JPD65565 JYZ65536:JYZ65565 KIV65536:KIV65565 KSR65536:KSR65565 LCN65536:LCN65565 LMJ65536:LMJ65565 LWF65536:LWF65565 MGB65536:MGB65565 MPX65536:MPX65565 MZT65536:MZT65565 NJP65536:NJP65565 NTL65536:NTL65565 ODH65536:ODH65565 OND65536:OND65565 OWZ65536:OWZ65565 PGV65536:PGV65565 PQR65536:PQR65565 QAN65536:QAN65565 QKJ65536:QKJ65565 QUF65536:QUF65565 REB65536:REB65565 RNX65536:RNX65565 RXT65536:RXT65565 SHP65536:SHP65565 SRL65536:SRL65565 TBH65536:TBH65565 TLD65536:TLD65565 TUZ65536:TUZ65565 UEV65536:UEV65565 UOR65536:UOR65565 UYN65536:UYN65565 VIJ65536:VIJ65565 VSF65536:VSF65565 WCB65536:WCB65565 WLX65536:WLX65565 WVT65536:WVT65565 JH131072:JH131101 TD131072:TD131101 ACZ131072:ACZ131101 AMV131072:AMV131101 AWR131072:AWR131101 BGN131072:BGN131101 BQJ131072:BQJ131101 CAF131072:CAF131101 CKB131072:CKB131101 CTX131072:CTX131101 DDT131072:DDT131101 DNP131072:DNP131101 DXL131072:DXL131101 EHH131072:EHH131101 ERD131072:ERD131101 FAZ131072:FAZ131101 FKV131072:FKV131101 FUR131072:FUR131101 GEN131072:GEN131101 GOJ131072:GOJ131101 GYF131072:GYF131101 HIB131072:HIB131101 HRX131072:HRX131101 IBT131072:IBT131101 ILP131072:ILP131101 IVL131072:IVL131101 JFH131072:JFH131101 JPD131072:JPD131101 JYZ131072:JYZ131101 KIV131072:KIV131101 KSR131072:KSR131101 LCN131072:LCN131101 LMJ131072:LMJ131101 LWF131072:LWF131101 MGB131072:MGB131101 MPX131072:MPX131101 MZT131072:MZT131101 NJP131072:NJP131101 NTL131072:NTL131101 ODH131072:ODH131101 OND131072:OND131101 OWZ131072:OWZ131101 PGV131072:PGV131101 PQR131072:PQR131101 QAN131072:QAN131101 QKJ131072:QKJ131101 QUF131072:QUF131101 REB131072:REB131101 RNX131072:RNX131101 RXT131072:RXT131101 SHP131072:SHP131101 SRL131072:SRL131101 TBH131072:TBH131101 TLD131072:TLD131101 TUZ131072:TUZ131101 UEV131072:UEV131101 UOR131072:UOR131101 UYN131072:UYN131101 VIJ131072:VIJ131101 VSF131072:VSF131101 WCB131072:WCB131101 WLX131072:WLX131101 WVT131072:WVT131101 JH196608:JH196637 TD196608:TD196637 ACZ196608:ACZ196637 AMV196608:AMV196637 AWR196608:AWR196637 BGN196608:BGN196637 BQJ196608:BQJ196637 CAF196608:CAF196637 CKB196608:CKB196637 CTX196608:CTX196637 DDT196608:DDT196637 DNP196608:DNP196637 DXL196608:DXL196637 EHH196608:EHH196637 ERD196608:ERD196637 FAZ196608:FAZ196637 FKV196608:FKV196637 FUR196608:FUR196637 GEN196608:GEN196637 GOJ196608:GOJ196637 GYF196608:GYF196637 HIB196608:HIB196637 HRX196608:HRX196637 IBT196608:IBT196637 ILP196608:ILP196637 IVL196608:IVL196637 JFH196608:JFH196637 JPD196608:JPD196637 JYZ196608:JYZ196637 KIV196608:KIV196637 KSR196608:KSR196637 LCN196608:LCN196637 LMJ196608:LMJ196637 LWF196608:LWF196637 MGB196608:MGB196637 MPX196608:MPX196637 MZT196608:MZT196637 NJP196608:NJP196637 NTL196608:NTL196637 ODH196608:ODH196637 OND196608:OND196637 OWZ196608:OWZ196637 PGV196608:PGV196637 PQR196608:PQR196637 QAN196608:QAN196637 QKJ196608:QKJ196637 QUF196608:QUF196637 REB196608:REB196637 RNX196608:RNX196637 RXT196608:RXT196637 SHP196608:SHP196637 SRL196608:SRL196637 TBH196608:TBH196637 TLD196608:TLD196637 TUZ196608:TUZ196637 UEV196608:UEV196637 UOR196608:UOR196637 UYN196608:UYN196637 VIJ196608:VIJ196637 VSF196608:VSF196637 WCB196608:WCB196637 WLX196608:WLX196637 WVT196608:WVT196637 JH262144:JH262173 TD262144:TD262173 ACZ262144:ACZ262173 AMV262144:AMV262173 AWR262144:AWR262173 BGN262144:BGN262173 BQJ262144:BQJ262173 CAF262144:CAF262173 CKB262144:CKB262173 CTX262144:CTX262173 DDT262144:DDT262173 DNP262144:DNP262173 DXL262144:DXL262173 EHH262144:EHH262173 ERD262144:ERD262173 FAZ262144:FAZ262173 FKV262144:FKV262173 FUR262144:FUR262173 GEN262144:GEN262173 GOJ262144:GOJ262173 GYF262144:GYF262173 HIB262144:HIB262173 HRX262144:HRX262173 IBT262144:IBT262173 ILP262144:ILP262173 IVL262144:IVL262173 JFH262144:JFH262173 JPD262144:JPD262173 JYZ262144:JYZ262173 KIV262144:KIV262173 KSR262144:KSR262173 LCN262144:LCN262173 LMJ262144:LMJ262173 LWF262144:LWF262173 MGB262144:MGB262173 MPX262144:MPX262173 MZT262144:MZT262173 NJP262144:NJP262173 NTL262144:NTL262173 ODH262144:ODH262173 OND262144:OND262173 OWZ262144:OWZ262173 PGV262144:PGV262173 PQR262144:PQR262173 QAN262144:QAN262173 QKJ262144:QKJ262173 QUF262144:QUF262173 REB262144:REB262173 RNX262144:RNX262173 RXT262144:RXT262173 SHP262144:SHP262173 SRL262144:SRL262173 TBH262144:TBH262173 TLD262144:TLD262173 TUZ262144:TUZ262173 UEV262144:UEV262173 UOR262144:UOR262173 UYN262144:UYN262173 VIJ262144:VIJ262173 VSF262144:VSF262173 WCB262144:WCB262173 WLX262144:WLX262173 WVT262144:WVT262173 JH327680:JH327709 TD327680:TD327709 ACZ327680:ACZ327709 AMV327680:AMV327709 AWR327680:AWR327709 BGN327680:BGN327709 BQJ327680:BQJ327709 CAF327680:CAF327709 CKB327680:CKB327709 CTX327680:CTX327709 DDT327680:DDT327709 DNP327680:DNP327709 DXL327680:DXL327709 EHH327680:EHH327709 ERD327680:ERD327709 FAZ327680:FAZ327709 FKV327680:FKV327709 FUR327680:FUR327709 GEN327680:GEN327709 GOJ327680:GOJ327709 GYF327680:GYF327709 HIB327680:HIB327709 HRX327680:HRX327709 IBT327680:IBT327709 ILP327680:ILP327709 IVL327680:IVL327709 JFH327680:JFH327709 JPD327680:JPD327709 JYZ327680:JYZ327709 KIV327680:KIV327709 KSR327680:KSR327709 LCN327680:LCN327709 LMJ327680:LMJ327709 LWF327680:LWF327709 MGB327680:MGB327709 MPX327680:MPX327709 MZT327680:MZT327709 NJP327680:NJP327709 NTL327680:NTL327709 ODH327680:ODH327709 OND327680:OND327709 OWZ327680:OWZ327709 PGV327680:PGV327709 PQR327680:PQR327709 QAN327680:QAN327709 QKJ327680:QKJ327709 QUF327680:QUF327709 REB327680:REB327709 RNX327680:RNX327709 RXT327680:RXT327709 SHP327680:SHP327709 SRL327680:SRL327709 TBH327680:TBH327709 TLD327680:TLD327709 TUZ327680:TUZ327709 UEV327680:UEV327709 UOR327680:UOR327709 UYN327680:UYN327709 VIJ327680:VIJ327709 VSF327680:VSF327709 WCB327680:WCB327709 WLX327680:WLX327709 WVT327680:WVT327709 JH393216:JH393245 TD393216:TD393245 ACZ393216:ACZ393245 AMV393216:AMV393245 AWR393216:AWR393245 BGN393216:BGN393245 BQJ393216:BQJ393245 CAF393216:CAF393245 CKB393216:CKB393245 CTX393216:CTX393245 DDT393216:DDT393245 DNP393216:DNP393245 DXL393216:DXL393245 EHH393216:EHH393245 ERD393216:ERD393245 FAZ393216:FAZ393245 FKV393216:FKV393245 FUR393216:FUR393245 GEN393216:GEN393245 GOJ393216:GOJ393245 GYF393216:GYF393245 HIB393216:HIB393245 HRX393216:HRX393245 IBT393216:IBT393245 ILP393216:ILP393245 IVL393216:IVL393245 JFH393216:JFH393245 JPD393216:JPD393245 JYZ393216:JYZ393245 KIV393216:KIV393245 KSR393216:KSR393245 LCN393216:LCN393245 LMJ393216:LMJ393245 LWF393216:LWF393245 MGB393216:MGB393245 MPX393216:MPX393245 MZT393216:MZT393245 NJP393216:NJP393245 NTL393216:NTL393245 ODH393216:ODH393245 OND393216:OND393245 OWZ393216:OWZ393245 PGV393216:PGV393245 PQR393216:PQR393245 QAN393216:QAN393245 QKJ393216:QKJ393245 QUF393216:QUF393245 REB393216:REB393245 RNX393216:RNX393245 RXT393216:RXT393245 SHP393216:SHP393245 SRL393216:SRL393245 TBH393216:TBH393245 TLD393216:TLD393245 TUZ393216:TUZ393245 UEV393216:UEV393245 UOR393216:UOR393245 UYN393216:UYN393245 VIJ393216:VIJ393245 VSF393216:VSF393245 WCB393216:WCB393245 WLX393216:WLX393245 WVT393216:WVT393245 JH458752:JH458781 TD458752:TD458781 ACZ458752:ACZ458781 AMV458752:AMV458781 AWR458752:AWR458781 BGN458752:BGN458781 BQJ458752:BQJ458781 CAF458752:CAF458781 CKB458752:CKB458781 CTX458752:CTX458781 DDT458752:DDT458781 DNP458752:DNP458781 DXL458752:DXL458781 EHH458752:EHH458781 ERD458752:ERD458781 FAZ458752:FAZ458781 FKV458752:FKV458781 FUR458752:FUR458781 GEN458752:GEN458781 GOJ458752:GOJ458781 GYF458752:GYF458781 HIB458752:HIB458781 HRX458752:HRX458781 IBT458752:IBT458781 ILP458752:ILP458781 IVL458752:IVL458781 JFH458752:JFH458781 JPD458752:JPD458781 JYZ458752:JYZ458781 KIV458752:KIV458781 KSR458752:KSR458781 LCN458752:LCN458781 LMJ458752:LMJ458781 LWF458752:LWF458781 MGB458752:MGB458781 MPX458752:MPX458781 MZT458752:MZT458781 NJP458752:NJP458781 NTL458752:NTL458781 ODH458752:ODH458781 OND458752:OND458781 OWZ458752:OWZ458781 PGV458752:PGV458781 PQR458752:PQR458781 QAN458752:QAN458781 QKJ458752:QKJ458781 QUF458752:QUF458781 REB458752:REB458781 RNX458752:RNX458781 RXT458752:RXT458781 SHP458752:SHP458781 SRL458752:SRL458781 TBH458752:TBH458781 TLD458752:TLD458781 TUZ458752:TUZ458781 UEV458752:UEV458781 UOR458752:UOR458781 UYN458752:UYN458781 VIJ458752:VIJ458781 VSF458752:VSF458781 WCB458752:WCB458781 WLX458752:WLX458781 WVT458752:WVT458781 JH524288:JH524317 TD524288:TD524317 ACZ524288:ACZ524317 AMV524288:AMV524317 AWR524288:AWR524317 BGN524288:BGN524317 BQJ524288:BQJ524317 CAF524288:CAF524317 CKB524288:CKB524317 CTX524288:CTX524317 DDT524288:DDT524317 DNP524288:DNP524317 DXL524288:DXL524317 EHH524288:EHH524317 ERD524288:ERD524317 FAZ524288:FAZ524317 FKV524288:FKV524317 FUR524288:FUR524317 GEN524288:GEN524317 GOJ524288:GOJ524317 GYF524288:GYF524317 HIB524288:HIB524317 HRX524288:HRX524317 IBT524288:IBT524317 ILP524288:ILP524317 IVL524288:IVL524317 JFH524288:JFH524317 JPD524288:JPD524317 JYZ524288:JYZ524317 KIV524288:KIV524317 KSR524288:KSR524317 LCN524288:LCN524317 LMJ524288:LMJ524317 LWF524288:LWF524317 MGB524288:MGB524317 MPX524288:MPX524317 MZT524288:MZT524317 NJP524288:NJP524317 NTL524288:NTL524317 ODH524288:ODH524317 OND524288:OND524317 OWZ524288:OWZ524317 PGV524288:PGV524317 PQR524288:PQR524317 QAN524288:QAN524317 QKJ524288:QKJ524317 QUF524288:QUF524317 REB524288:REB524317 RNX524288:RNX524317 RXT524288:RXT524317 SHP524288:SHP524317 SRL524288:SRL524317 TBH524288:TBH524317 TLD524288:TLD524317 TUZ524288:TUZ524317 UEV524288:UEV524317 UOR524288:UOR524317 UYN524288:UYN524317 VIJ524288:VIJ524317 VSF524288:VSF524317 WCB524288:WCB524317 WLX524288:WLX524317 WVT524288:WVT524317 JH589824:JH589853 TD589824:TD589853 ACZ589824:ACZ589853 AMV589824:AMV589853 AWR589824:AWR589853 BGN589824:BGN589853 BQJ589824:BQJ589853 CAF589824:CAF589853 CKB589824:CKB589853 CTX589824:CTX589853 DDT589824:DDT589853 DNP589824:DNP589853 DXL589824:DXL589853 EHH589824:EHH589853 ERD589824:ERD589853 FAZ589824:FAZ589853 FKV589824:FKV589853 FUR589824:FUR589853 GEN589824:GEN589853 GOJ589824:GOJ589853 GYF589824:GYF589853 HIB589824:HIB589853 HRX589824:HRX589853 IBT589824:IBT589853 ILP589824:ILP589853 IVL589824:IVL589853 JFH589824:JFH589853 JPD589824:JPD589853 JYZ589824:JYZ589853 KIV589824:KIV589853 KSR589824:KSR589853 LCN589824:LCN589853 LMJ589824:LMJ589853 LWF589824:LWF589853 MGB589824:MGB589853 MPX589824:MPX589853 MZT589824:MZT589853 NJP589824:NJP589853 NTL589824:NTL589853 ODH589824:ODH589853 OND589824:OND589853 OWZ589824:OWZ589853 PGV589824:PGV589853 PQR589824:PQR589853 QAN589824:QAN589853 QKJ589824:QKJ589853 QUF589824:QUF589853 REB589824:REB589853 RNX589824:RNX589853 RXT589824:RXT589853 SHP589824:SHP589853 SRL589824:SRL589853 TBH589824:TBH589853 TLD589824:TLD589853 TUZ589824:TUZ589853 UEV589824:UEV589853 UOR589824:UOR589853 UYN589824:UYN589853 VIJ589824:VIJ589853 VSF589824:VSF589853 WCB589824:WCB589853 WLX589824:WLX589853 WVT589824:WVT589853 JH655360:JH655389 TD655360:TD655389 ACZ655360:ACZ655389 AMV655360:AMV655389 AWR655360:AWR655389 BGN655360:BGN655389 BQJ655360:BQJ655389 CAF655360:CAF655389 CKB655360:CKB655389 CTX655360:CTX655389 DDT655360:DDT655389 DNP655360:DNP655389 DXL655360:DXL655389 EHH655360:EHH655389 ERD655360:ERD655389 FAZ655360:FAZ655389 FKV655360:FKV655389 FUR655360:FUR655389 GEN655360:GEN655389 GOJ655360:GOJ655389 GYF655360:GYF655389 HIB655360:HIB655389 HRX655360:HRX655389 IBT655360:IBT655389 ILP655360:ILP655389 IVL655360:IVL655389 JFH655360:JFH655389 JPD655360:JPD655389 JYZ655360:JYZ655389 KIV655360:KIV655389 KSR655360:KSR655389 LCN655360:LCN655389 LMJ655360:LMJ655389 LWF655360:LWF655389 MGB655360:MGB655389 MPX655360:MPX655389 MZT655360:MZT655389 NJP655360:NJP655389 NTL655360:NTL655389 ODH655360:ODH655389 OND655360:OND655389 OWZ655360:OWZ655389 PGV655360:PGV655389 PQR655360:PQR655389 QAN655360:QAN655389 QKJ655360:QKJ655389 QUF655360:QUF655389 REB655360:REB655389 RNX655360:RNX655389 RXT655360:RXT655389 SHP655360:SHP655389 SRL655360:SRL655389 TBH655360:TBH655389 TLD655360:TLD655389 TUZ655360:TUZ655389 UEV655360:UEV655389 UOR655360:UOR655389 UYN655360:UYN655389 VIJ655360:VIJ655389 VSF655360:VSF655389 WCB655360:WCB655389 WLX655360:WLX655389 WVT655360:WVT655389 JH720896:JH720925 TD720896:TD720925 ACZ720896:ACZ720925 AMV720896:AMV720925 AWR720896:AWR720925 BGN720896:BGN720925 BQJ720896:BQJ720925 CAF720896:CAF720925 CKB720896:CKB720925 CTX720896:CTX720925 DDT720896:DDT720925 DNP720896:DNP720925 DXL720896:DXL720925 EHH720896:EHH720925 ERD720896:ERD720925 FAZ720896:FAZ720925 FKV720896:FKV720925 FUR720896:FUR720925 GEN720896:GEN720925 GOJ720896:GOJ720925 GYF720896:GYF720925 HIB720896:HIB720925 HRX720896:HRX720925 IBT720896:IBT720925 ILP720896:ILP720925 IVL720896:IVL720925 JFH720896:JFH720925 JPD720896:JPD720925 JYZ720896:JYZ720925 KIV720896:KIV720925 KSR720896:KSR720925 LCN720896:LCN720925 LMJ720896:LMJ720925 LWF720896:LWF720925 MGB720896:MGB720925 MPX720896:MPX720925 MZT720896:MZT720925 NJP720896:NJP720925 NTL720896:NTL720925 ODH720896:ODH720925 OND720896:OND720925 OWZ720896:OWZ720925 PGV720896:PGV720925 PQR720896:PQR720925 QAN720896:QAN720925 QKJ720896:QKJ720925 QUF720896:QUF720925 REB720896:REB720925 RNX720896:RNX720925 RXT720896:RXT720925 SHP720896:SHP720925 SRL720896:SRL720925 TBH720896:TBH720925 TLD720896:TLD720925 TUZ720896:TUZ720925 UEV720896:UEV720925 UOR720896:UOR720925 UYN720896:UYN720925 VIJ720896:VIJ720925 VSF720896:VSF720925 WCB720896:WCB720925 WLX720896:WLX720925 WVT720896:WVT720925 JH786432:JH786461 TD786432:TD786461 ACZ786432:ACZ786461 AMV786432:AMV786461 AWR786432:AWR786461 BGN786432:BGN786461 BQJ786432:BQJ786461 CAF786432:CAF786461 CKB786432:CKB786461 CTX786432:CTX786461 DDT786432:DDT786461 DNP786432:DNP786461 DXL786432:DXL786461 EHH786432:EHH786461 ERD786432:ERD786461 FAZ786432:FAZ786461 FKV786432:FKV786461 FUR786432:FUR786461 GEN786432:GEN786461 GOJ786432:GOJ786461 GYF786432:GYF786461 HIB786432:HIB786461 HRX786432:HRX786461 IBT786432:IBT786461 ILP786432:ILP786461 IVL786432:IVL786461 JFH786432:JFH786461 JPD786432:JPD786461 JYZ786432:JYZ786461 KIV786432:KIV786461 KSR786432:KSR786461 LCN786432:LCN786461 LMJ786432:LMJ786461 LWF786432:LWF786461 MGB786432:MGB786461 MPX786432:MPX786461 MZT786432:MZT786461 NJP786432:NJP786461 NTL786432:NTL786461 ODH786432:ODH786461 OND786432:OND786461 OWZ786432:OWZ786461 PGV786432:PGV786461 PQR786432:PQR786461 QAN786432:QAN786461 QKJ786432:QKJ786461 QUF786432:QUF786461 REB786432:REB786461 RNX786432:RNX786461 RXT786432:RXT786461 SHP786432:SHP786461 SRL786432:SRL786461 TBH786432:TBH786461 TLD786432:TLD786461 TUZ786432:TUZ786461 UEV786432:UEV786461 UOR786432:UOR786461 UYN786432:UYN786461 VIJ786432:VIJ786461 VSF786432:VSF786461 WCB786432:WCB786461 WLX786432:WLX786461 WVT786432:WVT786461 JH851968:JH851997 TD851968:TD851997 ACZ851968:ACZ851997 AMV851968:AMV851997 AWR851968:AWR851997 BGN851968:BGN851997 BQJ851968:BQJ851997 CAF851968:CAF851997 CKB851968:CKB851997 CTX851968:CTX851997 DDT851968:DDT851997 DNP851968:DNP851997 DXL851968:DXL851997 EHH851968:EHH851997 ERD851968:ERD851997 FAZ851968:FAZ851997 FKV851968:FKV851997 FUR851968:FUR851997 GEN851968:GEN851997 GOJ851968:GOJ851997 GYF851968:GYF851997 HIB851968:HIB851997 HRX851968:HRX851997 IBT851968:IBT851997 ILP851968:ILP851997 IVL851968:IVL851997 JFH851968:JFH851997 JPD851968:JPD851997 JYZ851968:JYZ851997 KIV851968:KIV851997 KSR851968:KSR851997 LCN851968:LCN851997 LMJ851968:LMJ851997 LWF851968:LWF851997 MGB851968:MGB851997 MPX851968:MPX851997 MZT851968:MZT851997 NJP851968:NJP851997 NTL851968:NTL851997 ODH851968:ODH851997 OND851968:OND851997 OWZ851968:OWZ851997 PGV851968:PGV851997 PQR851968:PQR851997 QAN851968:QAN851997 QKJ851968:QKJ851997 QUF851968:QUF851997 REB851968:REB851997 RNX851968:RNX851997 RXT851968:RXT851997 SHP851968:SHP851997 SRL851968:SRL851997 TBH851968:TBH851997 TLD851968:TLD851997 TUZ851968:TUZ851997 UEV851968:UEV851997 UOR851968:UOR851997 UYN851968:UYN851997 VIJ851968:VIJ851997 VSF851968:VSF851997 WCB851968:WCB851997 WLX851968:WLX851997 WVT851968:WVT851997 JH917504:JH917533 TD917504:TD917533 ACZ917504:ACZ917533 AMV917504:AMV917533 AWR917504:AWR917533 BGN917504:BGN917533 BQJ917504:BQJ917533 CAF917504:CAF917533 CKB917504:CKB917533 CTX917504:CTX917533 DDT917504:DDT917533 DNP917504:DNP917533 DXL917504:DXL917533 EHH917504:EHH917533 ERD917504:ERD917533 FAZ917504:FAZ917533 FKV917504:FKV917533 FUR917504:FUR917533 GEN917504:GEN917533 GOJ917504:GOJ917533 GYF917504:GYF917533 HIB917504:HIB917533 HRX917504:HRX917533 IBT917504:IBT917533 ILP917504:ILP917533 IVL917504:IVL917533 JFH917504:JFH917533 JPD917504:JPD917533 JYZ917504:JYZ917533 KIV917504:KIV917533 KSR917504:KSR917533 LCN917504:LCN917533 LMJ917504:LMJ917533 LWF917504:LWF917533 MGB917504:MGB917533 MPX917504:MPX917533 MZT917504:MZT917533 NJP917504:NJP917533 NTL917504:NTL917533 ODH917504:ODH917533 OND917504:OND917533 OWZ917504:OWZ917533 PGV917504:PGV917533 PQR917504:PQR917533 QAN917504:QAN917533 QKJ917504:QKJ917533 QUF917504:QUF917533 REB917504:REB917533 RNX917504:RNX917533 RXT917504:RXT917533 SHP917504:SHP917533 SRL917504:SRL917533 TBH917504:TBH917533 TLD917504:TLD917533 TUZ917504:TUZ917533 UEV917504:UEV917533 UOR917504:UOR917533 UYN917504:UYN917533 VIJ917504:VIJ917533 VSF917504:VSF917533 WCB917504:WCB917533 WLX917504:WLX917533 WVT917504:WVT917533 JH983040:JH983069 TD983040:TD983069 ACZ983040:ACZ983069 AMV983040:AMV983069 AWR983040:AWR983069 BGN983040:BGN983069 BQJ983040:BQJ983069 CAF983040:CAF983069 CKB983040:CKB983069 CTX983040:CTX983069 DDT983040:DDT983069 DNP983040:DNP983069 DXL983040:DXL983069 EHH983040:EHH983069 ERD983040:ERD983069 FAZ983040:FAZ983069 FKV983040:FKV983069 FUR983040:FUR983069 GEN983040:GEN983069 GOJ983040:GOJ983069 GYF983040:GYF983069 HIB983040:HIB983069 HRX983040:HRX983069 IBT983040:IBT983069 ILP983040:ILP983069 IVL983040:IVL983069 JFH983040:JFH983069 JPD983040:JPD983069 JYZ983040:JYZ983069 KIV983040:KIV983069 KSR983040:KSR983069 LCN983040:LCN983069 LMJ983040:LMJ983069 LWF983040:LWF983069 MGB983040:MGB983069 MPX983040:MPX983069 MZT983040:MZT983069 NJP983040:NJP983069 NTL983040:NTL983069 ODH983040:ODH983069 OND983040:OND983069 OWZ983040:OWZ983069 PGV983040:PGV983069 PQR983040:PQR983069 QAN983040:QAN983069 QKJ983040:QKJ983069 QUF983040:QUF983069 REB983040:REB983069 RNX983040:RNX983069 RXT983040:RXT983069 SHP983040:SHP983069 SRL983040:SRL983069 TBH983040:TBH983069 TLD983040:TLD983069 TUZ983040:TUZ983069 UEV983040:UEV983069 UOR983040:UOR983069 UYN983040:UYN983069 VIJ983040:VIJ983069 VSF983040:VSF983069 WCB983040:WCB983069 WLX983040:WLX983069 WVT983040:WVT983069 JD6:JD29 SZ6:SZ29 ACV6:ACV29 AMR6:AMR29 AWN6:AWN29 BGJ6:BGJ29 BQF6:BQF29 CAB6:CAB29 CJX6:CJX29 CTT6:CTT29 DDP6:DDP29 DNL6:DNL29 DXH6:DXH29 EHD6:EHD29 EQZ6:EQZ29 FAV6:FAV29 FKR6:FKR29 FUN6:FUN29 GEJ6:GEJ29 GOF6:GOF29 GYB6:GYB29 HHX6:HHX29 HRT6:HRT29 IBP6:IBP29 ILL6:ILL29 IVH6:IVH29 JFD6:JFD29 JOZ6:JOZ29 JYV6:JYV29 KIR6:KIR29 KSN6:KSN29 LCJ6:LCJ29 LMF6:LMF29 LWB6:LWB29 MFX6:MFX29 MPT6:MPT29 MZP6:MZP29 NJL6:NJL29 NTH6:NTH29 ODD6:ODD29 OMZ6:OMZ29 OWV6:OWV29 PGR6:PGR29 PQN6:PQN29 QAJ6:QAJ29 QKF6:QKF29 QUB6:QUB29 RDX6:RDX29 RNT6:RNT29 RXP6:RXP29 SHL6:SHL29 SRH6:SRH29 TBD6:TBD29 TKZ6:TKZ29 TUV6:TUV29 UER6:UER29 UON6:UON29 UYJ6:UYJ29 VIF6:VIF29 VSB6:VSB29 WBX6:WBX29 WLT6:WLT29 WVP6:WVP29" xr:uid="{83C497BE-C8D6-4AC4-BC4B-61BD16D3D6A2}">
      <formula1>"จันทราภรณ์, รัฏฏิการ์, คชเขม, มาร์ค,สมเด็"</formula1>
    </dataValidation>
    <dataValidation type="list" allowBlank="1" showInputMessage="1" showErrorMessage="1" sqref="WVU983040:WVU983069 JI65536:JI65565 TE65536:TE65565 ADA65536:ADA65565 AMW65536:AMW65565 AWS65536:AWS65565 BGO65536:BGO65565 BQK65536:BQK65565 CAG65536:CAG65565 CKC65536:CKC65565 CTY65536:CTY65565 DDU65536:DDU65565 DNQ65536:DNQ65565 DXM65536:DXM65565 EHI65536:EHI65565 ERE65536:ERE65565 FBA65536:FBA65565 FKW65536:FKW65565 FUS65536:FUS65565 GEO65536:GEO65565 GOK65536:GOK65565 GYG65536:GYG65565 HIC65536:HIC65565 HRY65536:HRY65565 IBU65536:IBU65565 ILQ65536:ILQ65565 IVM65536:IVM65565 JFI65536:JFI65565 JPE65536:JPE65565 JZA65536:JZA65565 KIW65536:KIW65565 KSS65536:KSS65565 LCO65536:LCO65565 LMK65536:LMK65565 LWG65536:LWG65565 MGC65536:MGC65565 MPY65536:MPY65565 MZU65536:MZU65565 NJQ65536:NJQ65565 NTM65536:NTM65565 ODI65536:ODI65565 ONE65536:ONE65565 OXA65536:OXA65565 PGW65536:PGW65565 PQS65536:PQS65565 QAO65536:QAO65565 QKK65536:QKK65565 QUG65536:QUG65565 REC65536:REC65565 RNY65536:RNY65565 RXU65536:RXU65565 SHQ65536:SHQ65565 SRM65536:SRM65565 TBI65536:TBI65565 TLE65536:TLE65565 TVA65536:TVA65565 UEW65536:UEW65565 UOS65536:UOS65565 UYO65536:UYO65565 VIK65536:VIK65565 VSG65536:VSG65565 WCC65536:WCC65565 WLY65536:WLY65565 WVU65536:WVU65565 JI131072:JI131101 TE131072:TE131101 ADA131072:ADA131101 AMW131072:AMW131101 AWS131072:AWS131101 BGO131072:BGO131101 BQK131072:BQK131101 CAG131072:CAG131101 CKC131072:CKC131101 CTY131072:CTY131101 DDU131072:DDU131101 DNQ131072:DNQ131101 DXM131072:DXM131101 EHI131072:EHI131101 ERE131072:ERE131101 FBA131072:FBA131101 FKW131072:FKW131101 FUS131072:FUS131101 GEO131072:GEO131101 GOK131072:GOK131101 GYG131072:GYG131101 HIC131072:HIC131101 HRY131072:HRY131101 IBU131072:IBU131101 ILQ131072:ILQ131101 IVM131072:IVM131101 JFI131072:JFI131101 JPE131072:JPE131101 JZA131072:JZA131101 KIW131072:KIW131101 KSS131072:KSS131101 LCO131072:LCO131101 LMK131072:LMK131101 LWG131072:LWG131101 MGC131072:MGC131101 MPY131072:MPY131101 MZU131072:MZU131101 NJQ131072:NJQ131101 NTM131072:NTM131101 ODI131072:ODI131101 ONE131072:ONE131101 OXA131072:OXA131101 PGW131072:PGW131101 PQS131072:PQS131101 QAO131072:QAO131101 QKK131072:QKK131101 QUG131072:QUG131101 REC131072:REC131101 RNY131072:RNY131101 RXU131072:RXU131101 SHQ131072:SHQ131101 SRM131072:SRM131101 TBI131072:TBI131101 TLE131072:TLE131101 TVA131072:TVA131101 UEW131072:UEW131101 UOS131072:UOS131101 UYO131072:UYO131101 VIK131072:VIK131101 VSG131072:VSG131101 WCC131072:WCC131101 WLY131072:WLY131101 WVU131072:WVU131101 JI196608:JI196637 TE196608:TE196637 ADA196608:ADA196637 AMW196608:AMW196637 AWS196608:AWS196637 BGO196608:BGO196637 BQK196608:BQK196637 CAG196608:CAG196637 CKC196608:CKC196637 CTY196608:CTY196637 DDU196608:DDU196637 DNQ196608:DNQ196637 DXM196608:DXM196637 EHI196608:EHI196637 ERE196608:ERE196637 FBA196608:FBA196637 FKW196608:FKW196637 FUS196608:FUS196637 GEO196608:GEO196637 GOK196608:GOK196637 GYG196608:GYG196637 HIC196608:HIC196637 HRY196608:HRY196637 IBU196608:IBU196637 ILQ196608:ILQ196637 IVM196608:IVM196637 JFI196608:JFI196637 JPE196608:JPE196637 JZA196608:JZA196637 KIW196608:KIW196637 KSS196608:KSS196637 LCO196608:LCO196637 LMK196608:LMK196637 LWG196608:LWG196637 MGC196608:MGC196637 MPY196608:MPY196637 MZU196608:MZU196637 NJQ196608:NJQ196637 NTM196608:NTM196637 ODI196608:ODI196637 ONE196608:ONE196637 OXA196608:OXA196637 PGW196608:PGW196637 PQS196608:PQS196637 QAO196608:QAO196637 QKK196608:QKK196637 QUG196608:QUG196637 REC196608:REC196637 RNY196608:RNY196637 RXU196608:RXU196637 SHQ196608:SHQ196637 SRM196608:SRM196637 TBI196608:TBI196637 TLE196608:TLE196637 TVA196608:TVA196637 UEW196608:UEW196637 UOS196608:UOS196637 UYO196608:UYO196637 VIK196608:VIK196637 VSG196608:VSG196637 WCC196608:WCC196637 WLY196608:WLY196637 WVU196608:WVU196637 JI262144:JI262173 TE262144:TE262173 ADA262144:ADA262173 AMW262144:AMW262173 AWS262144:AWS262173 BGO262144:BGO262173 BQK262144:BQK262173 CAG262144:CAG262173 CKC262144:CKC262173 CTY262144:CTY262173 DDU262144:DDU262173 DNQ262144:DNQ262173 DXM262144:DXM262173 EHI262144:EHI262173 ERE262144:ERE262173 FBA262144:FBA262173 FKW262144:FKW262173 FUS262144:FUS262173 GEO262144:GEO262173 GOK262144:GOK262173 GYG262144:GYG262173 HIC262144:HIC262173 HRY262144:HRY262173 IBU262144:IBU262173 ILQ262144:ILQ262173 IVM262144:IVM262173 JFI262144:JFI262173 JPE262144:JPE262173 JZA262144:JZA262173 KIW262144:KIW262173 KSS262144:KSS262173 LCO262144:LCO262173 LMK262144:LMK262173 LWG262144:LWG262173 MGC262144:MGC262173 MPY262144:MPY262173 MZU262144:MZU262173 NJQ262144:NJQ262173 NTM262144:NTM262173 ODI262144:ODI262173 ONE262144:ONE262173 OXA262144:OXA262173 PGW262144:PGW262173 PQS262144:PQS262173 QAO262144:QAO262173 QKK262144:QKK262173 QUG262144:QUG262173 REC262144:REC262173 RNY262144:RNY262173 RXU262144:RXU262173 SHQ262144:SHQ262173 SRM262144:SRM262173 TBI262144:TBI262173 TLE262144:TLE262173 TVA262144:TVA262173 UEW262144:UEW262173 UOS262144:UOS262173 UYO262144:UYO262173 VIK262144:VIK262173 VSG262144:VSG262173 WCC262144:WCC262173 WLY262144:WLY262173 WVU262144:WVU262173 JI327680:JI327709 TE327680:TE327709 ADA327680:ADA327709 AMW327680:AMW327709 AWS327680:AWS327709 BGO327680:BGO327709 BQK327680:BQK327709 CAG327680:CAG327709 CKC327680:CKC327709 CTY327680:CTY327709 DDU327680:DDU327709 DNQ327680:DNQ327709 DXM327680:DXM327709 EHI327680:EHI327709 ERE327680:ERE327709 FBA327680:FBA327709 FKW327680:FKW327709 FUS327680:FUS327709 GEO327680:GEO327709 GOK327680:GOK327709 GYG327680:GYG327709 HIC327680:HIC327709 HRY327680:HRY327709 IBU327680:IBU327709 ILQ327680:ILQ327709 IVM327680:IVM327709 JFI327680:JFI327709 JPE327680:JPE327709 JZA327680:JZA327709 KIW327680:KIW327709 KSS327680:KSS327709 LCO327680:LCO327709 LMK327680:LMK327709 LWG327680:LWG327709 MGC327680:MGC327709 MPY327680:MPY327709 MZU327680:MZU327709 NJQ327680:NJQ327709 NTM327680:NTM327709 ODI327680:ODI327709 ONE327680:ONE327709 OXA327680:OXA327709 PGW327680:PGW327709 PQS327680:PQS327709 QAO327680:QAO327709 QKK327680:QKK327709 QUG327680:QUG327709 REC327680:REC327709 RNY327680:RNY327709 RXU327680:RXU327709 SHQ327680:SHQ327709 SRM327680:SRM327709 TBI327680:TBI327709 TLE327680:TLE327709 TVA327680:TVA327709 UEW327680:UEW327709 UOS327680:UOS327709 UYO327680:UYO327709 VIK327680:VIK327709 VSG327680:VSG327709 WCC327680:WCC327709 WLY327680:WLY327709 WVU327680:WVU327709 JI393216:JI393245 TE393216:TE393245 ADA393216:ADA393245 AMW393216:AMW393245 AWS393216:AWS393245 BGO393216:BGO393245 BQK393216:BQK393245 CAG393216:CAG393245 CKC393216:CKC393245 CTY393216:CTY393245 DDU393216:DDU393245 DNQ393216:DNQ393245 DXM393216:DXM393245 EHI393216:EHI393245 ERE393216:ERE393245 FBA393216:FBA393245 FKW393216:FKW393245 FUS393216:FUS393245 GEO393216:GEO393245 GOK393216:GOK393245 GYG393216:GYG393245 HIC393216:HIC393245 HRY393216:HRY393245 IBU393216:IBU393245 ILQ393216:ILQ393245 IVM393216:IVM393245 JFI393216:JFI393245 JPE393216:JPE393245 JZA393216:JZA393245 KIW393216:KIW393245 KSS393216:KSS393245 LCO393216:LCO393245 LMK393216:LMK393245 LWG393216:LWG393245 MGC393216:MGC393245 MPY393216:MPY393245 MZU393216:MZU393245 NJQ393216:NJQ393245 NTM393216:NTM393245 ODI393216:ODI393245 ONE393216:ONE393245 OXA393216:OXA393245 PGW393216:PGW393245 PQS393216:PQS393245 QAO393216:QAO393245 QKK393216:QKK393245 QUG393216:QUG393245 REC393216:REC393245 RNY393216:RNY393245 RXU393216:RXU393245 SHQ393216:SHQ393245 SRM393216:SRM393245 TBI393216:TBI393245 TLE393216:TLE393245 TVA393216:TVA393245 UEW393216:UEW393245 UOS393216:UOS393245 UYO393216:UYO393245 VIK393216:VIK393245 VSG393216:VSG393245 WCC393216:WCC393245 WLY393216:WLY393245 WVU393216:WVU393245 JI458752:JI458781 TE458752:TE458781 ADA458752:ADA458781 AMW458752:AMW458781 AWS458752:AWS458781 BGO458752:BGO458781 BQK458752:BQK458781 CAG458752:CAG458781 CKC458752:CKC458781 CTY458752:CTY458781 DDU458752:DDU458781 DNQ458752:DNQ458781 DXM458752:DXM458781 EHI458752:EHI458781 ERE458752:ERE458781 FBA458752:FBA458781 FKW458752:FKW458781 FUS458752:FUS458781 GEO458752:GEO458781 GOK458752:GOK458781 GYG458752:GYG458781 HIC458752:HIC458781 HRY458752:HRY458781 IBU458752:IBU458781 ILQ458752:ILQ458781 IVM458752:IVM458781 JFI458752:JFI458781 JPE458752:JPE458781 JZA458752:JZA458781 KIW458752:KIW458781 KSS458752:KSS458781 LCO458752:LCO458781 LMK458752:LMK458781 LWG458752:LWG458781 MGC458752:MGC458781 MPY458752:MPY458781 MZU458752:MZU458781 NJQ458752:NJQ458781 NTM458752:NTM458781 ODI458752:ODI458781 ONE458752:ONE458781 OXA458752:OXA458781 PGW458752:PGW458781 PQS458752:PQS458781 QAO458752:QAO458781 QKK458752:QKK458781 QUG458752:QUG458781 REC458752:REC458781 RNY458752:RNY458781 RXU458752:RXU458781 SHQ458752:SHQ458781 SRM458752:SRM458781 TBI458752:TBI458781 TLE458752:TLE458781 TVA458752:TVA458781 UEW458752:UEW458781 UOS458752:UOS458781 UYO458752:UYO458781 VIK458752:VIK458781 VSG458752:VSG458781 WCC458752:WCC458781 WLY458752:WLY458781 WVU458752:WVU458781 JI524288:JI524317 TE524288:TE524317 ADA524288:ADA524317 AMW524288:AMW524317 AWS524288:AWS524317 BGO524288:BGO524317 BQK524288:BQK524317 CAG524288:CAG524317 CKC524288:CKC524317 CTY524288:CTY524317 DDU524288:DDU524317 DNQ524288:DNQ524317 DXM524288:DXM524317 EHI524288:EHI524317 ERE524288:ERE524317 FBA524288:FBA524317 FKW524288:FKW524317 FUS524288:FUS524317 GEO524288:GEO524317 GOK524288:GOK524317 GYG524288:GYG524317 HIC524288:HIC524317 HRY524288:HRY524317 IBU524288:IBU524317 ILQ524288:ILQ524317 IVM524288:IVM524317 JFI524288:JFI524317 JPE524288:JPE524317 JZA524288:JZA524317 KIW524288:KIW524317 KSS524288:KSS524317 LCO524288:LCO524317 LMK524288:LMK524317 LWG524288:LWG524317 MGC524288:MGC524317 MPY524288:MPY524317 MZU524288:MZU524317 NJQ524288:NJQ524317 NTM524288:NTM524317 ODI524288:ODI524317 ONE524288:ONE524317 OXA524288:OXA524317 PGW524288:PGW524317 PQS524288:PQS524317 QAO524288:QAO524317 QKK524288:QKK524317 QUG524288:QUG524317 REC524288:REC524317 RNY524288:RNY524317 RXU524288:RXU524317 SHQ524288:SHQ524317 SRM524288:SRM524317 TBI524288:TBI524317 TLE524288:TLE524317 TVA524288:TVA524317 UEW524288:UEW524317 UOS524288:UOS524317 UYO524288:UYO524317 VIK524288:VIK524317 VSG524288:VSG524317 WCC524288:WCC524317 WLY524288:WLY524317 WVU524288:WVU524317 JI589824:JI589853 TE589824:TE589853 ADA589824:ADA589853 AMW589824:AMW589853 AWS589824:AWS589853 BGO589824:BGO589853 BQK589824:BQK589853 CAG589824:CAG589853 CKC589824:CKC589853 CTY589824:CTY589853 DDU589824:DDU589853 DNQ589824:DNQ589853 DXM589824:DXM589853 EHI589824:EHI589853 ERE589824:ERE589853 FBA589824:FBA589853 FKW589824:FKW589853 FUS589824:FUS589853 GEO589824:GEO589853 GOK589824:GOK589853 GYG589824:GYG589853 HIC589824:HIC589853 HRY589824:HRY589853 IBU589824:IBU589853 ILQ589824:ILQ589853 IVM589824:IVM589853 JFI589824:JFI589853 JPE589824:JPE589853 JZA589824:JZA589853 KIW589824:KIW589853 KSS589824:KSS589853 LCO589824:LCO589853 LMK589824:LMK589853 LWG589824:LWG589853 MGC589824:MGC589853 MPY589824:MPY589853 MZU589824:MZU589853 NJQ589824:NJQ589853 NTM589824:NTM589853 ODI589824:ODI589853 ONE589824:ONE589853 OXA589824:OXA589853 PGW589824:PGW589853 PQS589824:PQS589853 QAO589824:QAO589853 QKK589824:QKK589853 QUG589824:QUG589853 REC589824:REC589853 RNY589824:RNY589853 RXU589824:RXU589853 SHQ589824:SHQ589853 SRM589824:SRM589853 TBI589824:TBI589853 TLE589824:TLE589853 TVA589824:TVA589853 UEW589824:UEW589853 UOS589824:UOS589853 UYO589824:UYO589853 VIK589824:VIK589853 VSG589824:VSG589853 WCC589824:WCC589853 WLY589824:WLY589853 WVU589824:WVU589853 JI655360:JI655389 TE655360:TE655389 ADA655360:ADA655389 AMW655360:AMW655389 AWS655360:AWS655389 BGO655360:BGO655389 BQK655360:BQK655389 CAG655360:CAG655389 CKC655360:CKC655389 CTY655360:CTY655389 DDU655360:DDU655389 DNQ655360:DNQ655389 DXM655360:DXM655389 EHI655360:EHI655389 ERE655360:ERE655389 FBA655360:FBA655389 FKW655360:FKW655389 FUS655360:FUS655389 GEO655360:GEO655389 GOK655360:GOK655389 GYG655360:GYG655389 HIC655360:HIC655389 HRY655360:HRY655389 IBU655360:IBU655389 ILQ655360:ILQ655389 IVM655360:IVM655389 JFI655360:JFI655389 JPE655360:JPE655389 JZA655360:JZA655389 KIW655360:KIW655389 KSS655360:KSS655389 LCO655360:LCO655389 LMK655360:LMK655389 LWG655360:LWG655389 MGC655360:MGC655389 MPY655360:MPY655389 MZU655360:MZU655389 NJQ655360:NJQ655389 NTM655360:NTM655389 ODI655360:ODI655389 ONE655360:ONE655389 OXA655360:OXA655389 PGW655360:PGW655389 PQS655360:PQS655389 QAO655360:QAO655389 QKK655360:QKK655389 QUG655360:QUG655389 REC655360:REC655389 RNY655360:RNY655389 RXU655360:RXU655389 SHQ655360:SHQ655389 SRM655360:SRM655389 TBI655360:TBI655389 TLE655360:TLE655389 TVA655360:TVA655389 UEW655360:UEW655389 UOS655360:UOS655389 UYO655360:UYO655389 VIK655360:VIK655389 VSG655360:VSG655389 WCC655360:WCC655389 WLY655360:WLY655389 WVU655360:WVU655389 JI720896:JI720925 TE720896:TE720925 ADA720896:ADA720925 AMW720896:AMW720925 AWS720896:AWS720925 BGO720896:BGO720925 BQK720896:BQK720925 CAG720896:CAG720925 CKC720896:CKC720925 CTY720896:CTY720925 DDU720896:DDU720925 DNQ720896:DNQ720925 DXM720896:DXM720925 EHI720896:EHI720925 ERE720896:ERE720925 FBA720896:FBA720925 FKW720896:FKW720925 FUS720896:FUS720925 GEO720896:GEO720925 GOK720896:GOK720925 GYG720896:GYG720925 HIC720896:HIC720925 HRY720896:HRY720925 IBU720896:IBU720925 ILQ720896:ILQ720925 IVM720896:IVM720925 JFI720896:JFI720925 JPE720896:JPE720925 JZA720896:JZA720925 KIW720896:KIW720925 KSS720896:KSS720925 LCO720896:LCO720925 LMK720896:LMK720925 LWG720896:LWG720925 MGC720896:MGC720925 MPY720896:MPY720925 MZU720896:MZU720925 NJQ720896:NJQ720925 NTM720896:NTM720925 ODI720896:ODI720925 ONE720896:ONE720925 OXA720896:OXA720925 PGW720896:PGW720925 PQS720896:PQS720925 QAO720896:QAO720925 QKK720896:QKK720925 QUG720896:QUG720925 REC720896:REC720925 RNY720896:RNY720925 RXU720896:RXU720925 SHQ720896:SHQ720925 SRM720896:SRM720925 TBI720896:TBI720925 TLE720896:TLE720925 TVA720896:TVA720925 UEW720896:UEW720925 UOS720896:UOS720925 UYO720896:UYO720925 VIK720896:VIK720925 VSG720896:VSG720925 WCC720896:WCC720925 WLY720896:WLY720925 WVU720896:WVU720925 JI786432:JI786461 TE786432:TE786461 ADA786432:ADA786461 AMW786432:AMW786461 AWS786432:AWS786461 BGO786432:BGO786461 BQK786432:BQK786461 CAG786432:CAG786461 CKC786432:CKC786461 CTY786432:CTY786461 DDU786432:DDU786461 DNQ786432:DNQ786461 DXM786432:DXM786461 EHI786432:EHI786461 ERE786432:ERE786461 FBA786432:FBA786461 FKW786432:FKW786461 FUS786432:FUS786461 GEO786432:GEO786461 GOK786432:GOK786461 GYG786432:GYG786461 HIC786432:HIC786461 HRY786432:HRY786461 IBU786432:IBU786461 ILQ786432:ILQ786461 IVM786432:IVM786461 JFI786432:JFI786461 JPE786432:JPE786461 JZA786432:JZA786461 KIW786432:KIW786461 KSS786432:KSS786461 LCO786432:LCO786461 LMK786432:LMK786461 LWG786432:LWG786461 MGC786432:MGC786461 MPY786432:MPY786461 MZU786432:MZU786461 NJQ786432:NJQ786461 NTM786432:NTM786461 ODI786432:ODI786461 ONE786432:ONE786461 OXA786432:OXA786461 PGW786432:PGW786461 PQS786432:PQS786461 QAO786432:QAO786461 QKK786432:QKK786461 QUG786432:QUG786461 REC786432:REC786461 RNY786432:RNY786461 RXU786432:RXU786461 SHQ786432:SHQ786461 SRM786432:SRM786461 TBI786432:TBI786461 TLE786432:TLE786461 TVA786432:TVA786461 UEW786432:UEW786461 UOS786432:UOS786461 UYO786432:UYO786461 VIK786432:VIK786461 VSG786432:VSG786461 WCC786432:WCC786461 WLY786432:WLY786461 WVU786432:WVU786461 JI851968:JI851997 TE851968:TE851997 ADA851968:ADA851997 AMW851968:AMW851997 AWS851968:AWS851997 BGO851968:BGO851997 BQK851968:BQK851997 CAG851968:CAG851997 CKC851968:CKC851997 CTY851968:CTY851997 DDU851968:DDU851997 DNQ851968:DNQ851997 DXM851968:DXM851997 EHI851968:EHI851997 ERE851968:ERE851997 FBA851968:FBA851997 FKW851968:FKW851997 FUS851968:FUS851997 GEO851968:GEO851997 GOK851968:GOK851997 GYG851968:GYG851997 HIC851968:HIC851997 HRY851968:HRY851997 IBU851968:IBU851997 ILQ851968:ILQ851997 IVM851968:IVM851997 JFI851968:JFI851997 JPE851968:JPE851997 JZA851968:JZA851997 KIW851968:KIW851997 KSS851968:KSS851997 LCO851968:LCO851997 LMK851968:LMK851997 LWG851968:LWG851997 MGC851968:MGC851997 MPY851968:MPY851997 MZU851968:MZU851997 NJQ851968:NJQ851997 NTM851968:NTM851997 ODI851968:ODI851997 ONE851968:ONE851997 OXA851968:OXA851997 PGW851968:PGW851997 PQS851968:PQS851997 QAO851968:QAO851997 QKK851968:QKK851997 QUG851968:QUG851997 REC851968:REC851997 RNY851968:RNY851997 RXU851968:RXU851997 SHQ851968:SHQ851997 SRM851968:SRM851997 TBI851968:TBI851997 TLE851968:TLE851997 TVA851968:TVA851997 UEW851968:UEW851997 UOS851968:UOS851997 UYO851968:UYO851997 VIK851968:VIK851997 VSG851968:VSG851997 WCC851968:WCC851997 WLY851968:WLY851997 WVU851968:WVU851997 JI917504:JI917533 TE917504:TE917533 ADA917504:ADA917533 AMW917504:AMW917533 AWS917504:AWS917533 BGO917504:BGO917533 BQK917504:BQK917533 CAG917504:CAG917533 CKC917504:CKC917533 CTY917504:CTY917533 DDU917504:DDU917533 DNQ917504:DNQ917533 DXM917504:DXM917533 EHI917504:EHI917533 ERE917504:ERE917533 FBA917504:FBA917533 FKW917504:FKW917533 FUS917504:FUS917533 GEO917504:GEO917533 GOK917504:GOK917533 GYG917504:GYG917533 HIC917504:HIC917533 HRY917504:HRY917533 IBU917504:IBU917533 ILQ917504:ILQ917533 IVM917504:IVM917533 JFI917504:JFI917533 JPE917504:JPE917533 JZA917504:JZA917533 KIW917504:KIW917533 KSS917504:KSS917533 LCO917504:LCO917533 LMK917504:LMK917533 LWG917504:LWG917533 MGC917504:MGC917533 MPY917504:MPY917533 MZU917504:MZU917533 NJQ917504:NJQ917533 NTM917504:NTM917533 ODI917504:ODI917533 ONE917504:ONE917533 OXA917504:OXA917533 PGW917504:PGW917533 PQS917504:PQS917533 QAO917504:QAO917533 QKK917504:QKK917533 QUG917504:QUG917533 REC917504:REC917533 RNY917504:RNY917533 RXU917504:RXU917533 SHQ917504:SHQ917533 SRM917504:SRM917533 TBI917504:TBI917533 TLE917504:TLE917533 TVA917504:TVA917533 UEW917504:UEW917533 UOS917504:UOS917533 UYO917504:UYO917533 VIK917504:VIK917533 VSG917504:VSG917533 WCC917504:WCC917533 WLY917504:WLY917533 WVU917504:WVU917533 JI983040:JI983069 TE983040:TE983069 ADA983040:ADA983069 AMW983040:AMW983069 AWS983040:AWS983069 BGO983040:BGO983069 BQK983040:BQK983069 CAG983040:CAG983069 CKC983040:CKC983069 CTY983040:CTY983069 DDU983040:DDU983069 DNQ983040:DNQ983069 DXM983040:DXM983069 EHI983040:EHI983069 ERE983040:ERE983069 FBA983040:FBA983069 FKW983040:FKW983069 FUS983040:FUS983069 GEO983040:GEO983069 GOK983040:GOK983069 GYG983040:GYG983069 HIC983040:HIC983069 HRY983040:HRY983069 IBU983040:IBU983069 ILQ983040:ILQ983069 IVM983040:IVM983069 JFI983040:JFI983069 JPE983040:JPE983069 JZA983040:JZA983069 KIW983040:KIW983069 KSS983040:KSS983069 LCO983040:LCO983069 LMK983040:LMK983069 LWG983040:LWG983069 MGC983040:MGC983069 MPY983040:MPY983069 MZU983040:MZU983069 NJQ983040:NJQ983069 NTM983040:NTM983069 ODI983040:ODI983069 ONE983040:ONE983069 OXA983040:OXA983069 PGW983040:PGW983069 PQS983040:PQS983069 QAO983040:QAO983069 QKK983040:QKK983069 QUG983040:QUG983069 REC983040:REC983069 RNY983040:RNY983069 RXU983040:RXU983069 SHQ983040:SHQ983069 SRM983040:SRM983069 TBI983040:TBI983069 TLE983040:TLE983069 TVA983040:TVA983069 UEW983040:UEW983069 UOS983040:UOS983069 UYO983040:UYO983069 VIK983040:VIK983069 VSG983040:VSG983069 WCC983040:WCC983069 WLY983040:WLY983069 S26 T25:T29 U25:U26 S28:S29 U28:U29 TA6:TA29 ACW6:ACW29 AMS6:AMS29 AWO6:AWO29 BGK6:BGK29 BQG6:BQG29 CAC6:CAC29 CJY6:CJY29 CTU6:CTU29 DDQ6:DDQ29 DNM6:DNM29 DXI6:DXI29 EHE6:EHE29 ERA6:ERA29 FAW6:FAW29 FKS6:FKS29 FUO6:FUO29 GEK6:GEK29 GOG6:GOG29 GYC6:GYC29 HHY6:HHY29 HRU6:HRU29 IBQ6:IBQ29 ILM6:ILM29 IVI6:IVI29 JFE6:JFE29 JPA6:JPA29 JYW6:JYW29 KIS6:KIS29 KSO6:KSO29 LCK6:LCK29 LMG6:LMG29 LWC6:LWC29 MFY6:MFY29 MPU6:MPU29 MZQ6:MZQ29 NJM6:NJM29 NTI6:NTI29 ODE6:ODE29 ONA6:ONA29 OWW6:OWW29 PGS6:PGS29 PQO6:PQO29 QAK6:QAK29 QKG6:QKG29 QUC6:QUC29 RDY6:RDY29 RNU6:RNU29 RXQ6:RXQ29 SHM6:SHM29 SRI6:SRI29 TBE6:TBE29 TLA6:TLA29 TUW6:TUW29 UES6:UES29 UOO6:UOO29 UYK6:UYK29 VIG6:VIG29 VSC6:VSC29 WBY6:WBY29 WLU6:WLU29 WVQ6:WVQ29 JE6:JE29" xr:uid="{CE7D59A6-5205-417F-AFDE-F860C4D4BFA3}">
      <formula1>"สมเด็จ, มานพ, นิคม, คลองเตย,"</formula1>
    </dataValidation>
    <dataValidation type="list" allowBlank="1" showInputMessage="1" showErrorMessage="1" sqref="WVC983036 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A65532:B65532 IQ65532 SM65532 ACI65532 AME65532 AWA65532 BFW65532 BPS65532 BZO65532 CJK65532 CTG65532 DDC65532 DMY65532 DWU65532 EGQ65532 EQM65532 FAI65532 FKE65532 FUA65532 GDW65532 GNS65532 GXO65532 HHK65532 HRG65532 IBC65532 IKY65532 IUU65532 JEQ65532 JOM65532 JYI65532 KIE65532 KSA65532 LBW65532 LLS65532 LVO65532 MFK65532 MPG65532 MZC65532 NIY65532 NSU65532 OCQ65532 OMM65532 OWI65532 PGE65532 PQA65532 PZW65532 QJS65532 QTO65532 RDK65532 RNG65532 RXC65532 SGY65532 SQU65532 TAQ65532 TKM65532 TUI65532 UEE65532 UOA65532 UXW65532 VHS65532 VRO65532 WBK65532 WLG65532 WVC65532 A131068:B131068 IQ131068 SM131068 ACI131068 AME131068 AWA131068 BFW131068 BPS131068 BZO131068 CJK131068 CTG131068 DDC131068 DMY131068 DWU131068 EGQ131068 EQM131068 FAI131068 FKE131068 FUA131068 GDW131068 GNS131068 GXO131068 HHK131068 HRG131068 IBC131068 IKY131068 IUU131068 JEQ131068 JOM131068 JYI131068 KIE131068 KSA131068 LBW131068 LLS131068 LVO131068 MFK131068 MPG131068 MZC131068 NIY131068 NSU131068 OCQ131068 OMM131068 OWI131068 PGE131068 PQA131068 PZW131068 QJS131068 QTO131068 RDK131068 RNG131068 RXC131068 SGY131068 SQU131068 TAQ131068 TKM131068 TUI131068 UEE131068 UOA131068 UXW131068 VHS131068 VRO131068 WBK131068 WLG131068 WVC131068 A196604:B196604 IQ196604 SM196604 ACI196604 AME196604 AWA196604 BFW196604 BPS196604 BZO196604 CJK196604 CTG196604 DDC196604 DMY196604 DWU196604 EGQ196604 EQM196604 FAI196604 FKE196604 FUA196604 GDW196604 GNS196604 GXO196604 HHK196604 HRG196604 IBC196604 IKY196604 IUU196604 JEQ196604 JOM196604 JYI196604 KIE196604 KSA196604 LBW196604 LLS196604 LVO196604 MFK196604 MPG196604 MZC196604 NIY196604 NSU196604 OCQ196604 OMM196604 OWI196604 PGE196604 PQA196604 PZW196604 QJS196604 QTO196604 RDK196604 RNG196604 RXC196604 SGY196604 SQU196604 TAQ196604 TKM196604 TUI196604 UEE196604 UOA196604 UXW196604 VHS196604 VRO196604 WBK196604 WLG196604 WVC196604 A262140:B262140 IQ262140 SM262140 ACI262140 AME262140 AWA262140 BFW262140 BPS262140 BZO262140 CJK262140 CTG262140 DDC262140 DMY262140 DWU262140 EGQ262140 EQM262140 FAI262140 FKE262140 FUA262140 GDW262140 GNS262140 GXO262140 HHK262140 HRG262140 IBC262140 IKY262140 IUU262140 JEQ262140 JOM262140 JYI262140 KIE262140 KSA262140 LBW262140 LLS262140 LVO262140 MFK262140 MPG262140 MZC262140 NIY262140 NSU262140 OCQ262140 OMM262140 OWI262140 PGE262140 PQA262140 PZW262140 QJS262140 QTO262140 RDK262140 RNG262140 RXC262140 SGY262140 SQU262140 TAQ262140 TKM262140 TUI262140 UEE262140 UOA262140 UXW262140 VHS262140 VRO262140 WBK262140 WLG262140 WVC262140 A327676:B327676 IQ327676 SM327676 ACI327676 AME327676 AWA327676 BFW327676 BPS327676 BZO327676 CJK327676 CTG327676 DDC327676 DMY327676 DWU327676 EGQ327676 EQM327676 FAI327676 FKE327676 FUA327676 GDW327676 GNS327676 GXO327676 HHK327676 HRG327676 IBC327676 IKY327676 IUU327676 JEQ327676 JOM327676 JYI327676 KIE327676 KSA327676 LBW327676 LLS327676 LVO327676 MFK327676 MPG327676 MZC327676 NIY327676 NSU327676 OCQ327676 OMM327676 OWI327676 PGE327676 PQA327676 PZW327676 QJS327676 QTO327676 RDK327676 RNG327676 RXC327676 SGY327676 SQU327676 TAQ327676 TKM327676 TUI327676 UEE327676 UOA327676 UXW327676 VHS327676 VRO327676 WBK327676 WLG327676 WVC327676 A393212:B393212 IQ393212 SM393212 ACI393212 AME393212 AWA393212 BFW393212 BPS393212 BZO393212 CJK393212 CTG393212 DDC393212 DMY393212 DWU393212 EGQ393212 EQM393212 FAI393212 FKE393212 FUA393212 GDW393212 GNS393212 GXO393212 HHK393212 HRG393212 IBC393212 IKY393212 IUU393212 JEQ393212 JOM393212 JYI393212 KIE393212 KSA393212 LBW393212 LLS393212 LVO393212 MFK393212 MPG393212 MZC393212 NIY393212 NSU393212 OCQ393212 OMM393212 OWI393212 PGE393212 PQA393212 PZW393212 QJS393212 QTO393212 RDK393212 RNG393212 RXC393212 SGY393212 SQU393212 TAQ393212 TKM393212 TUI393212 UEE393212 UOA393212 UXW393212 VHS393212 VRO393212 WBK393212 WLG393212 WVC393212 A458748:B458748 IQ458748 SM458748 ACI458748 AME458748 AWA458748 BFW458748 BPS458748 BZO458748 CJK458748 CTG458748 DDC458748 DMY458748 DWU458748 EGQ458748 EQM458748 FAI458748 FKE458748 FUA458748 GDW458748 GNS458748 GXO458748 HHK458748 HRG458748 IBC458748 IKY458748 IUU458748 JEQ458748 JOM458748 JYI458748 KIE458748 KSA458748 LBW458748 LLS458748 LVO458748 MFK458748 MPG458748 MZC458748 NIY458748 NSU458748 OCQ458748 OMM458748 OWI458748 PGE458748 PQA458748 PZW458748 QJS458748 QTO458748 RDK458748 RNG458748 RXC458748 SGY458748 SQU458748 TAQ458748 TKM458748 TUI458748 UEE458748 UOA458748 UXW458748 VHS458748 VRO458748 WBK458748 WLG458748 WVC458748 A524284:B524284 IQ524284 SM524284 ACI524284 AME524284 AWA524284 BFW524284 BPS524284 BZO524284 CJK524284 CTG524284 DDC524284 DMY524284 DWU524284 EGQ524284 EQM524284 FAI524284 FKE524284 FUA524284 GDW524284 GNS524284 GXO524284 HHK524284 HRG524284 IBC524284 IKY524284 IUU524284 JEQ524284 JOM524284 JYI524284 KIE524284 KSA524284 LBW524284 LLS524284 LVO524284 MFK524284 MPG524284 MZC524284 NIY524284 NSU524284 OCQ524284 OMM524284 OWI524284 PGE524284 PQA524284 PZW524284 QJS524284 QTO524284 RDK524284 RNG524284 RXC524284 SGY524284 SQU524284 TAQ524284 TKM524284 TUI524284 UEE524284 UOA524284 UXW524284 VHS524284 VRO524284 WBK524284 WLG524284 WVC524284 A589820:B589820 IQ589820 SM589820 ACI589820 AME589820 AWA589820 BFW589820 BPS589820 BZO589820 CJK589820 CTG589820 DDC589820 DMY589820 DWU589820 EGQ589820 EQM589820 FAI589820 FKE589820 FUA589820 GDW589820 GNS589820 GXO589820 HHK589820 HRG589820 IBC589820 IKY589820 IUU589820 JEQ589820 JOM589820 JYI589820 KIE589820 KSA589820 LBW589820 LLS589820 LVO589820 MFK589820 MPG589820 MZC589820 NIY589820 NSU589820 OCQ589820 OMM589820 OWI589820 PGE589820 PQA589820 PZW589820 QJS589820 QTO589820 RDK589820 RNG589820 RXC589820 SGY589820 SQU589820 TAQ589820 TKM589820 TUI589820 UEE589820 UOA589820 UXW589820 VHS589820 VRO589820 WBK589820 WLG589820 WVC589820 A655356:B655356 IQ655356 SM655356 ACI655356 AME655356 AWA655356 BFW655356 BPS655356 BZO655356 CJK655356 CTG655356 DDC655356 DMY655356 DWU655356 EGQ655356 EQM655356 FAI655356 FKE655356 FUA655356 GDW655356 GNS655356 GXO655356 HHK655356 HRG655356 IBC655356 IKY655356 IUU655356 JEQ655356 JOM655356 JYI655356 KIE655356 KSA655356 LBW655356 LLS655356 LVO655356 MFK655356 MPG655356 MZC655356 NIY655356 NSU655356 OCQ655356 OMM655356 OWI655356 PGE655356 PQA655356 PZW655356 QJS655356 QTO655356 RDK655356 RNG655356 RXC655356 SGY655356 SQU655356 TAQ655356 TKM655356 TUI655356 UEE655356 UOA655356 UXW655356 VHS655356 VRO655356 WBK655356 WLG655356 WVC655356 A720892:B720892 IQ720892 SM720892 ACI720892 AME720892 AWA720892 BFW720892 BPS720892 BZO720892 CJK720892 CTG720892 DDC720892 DMY720892 DWU720892 EGQ720892 EQM720892 FAI720892 FKE720892 FUA720892 GDW720892 GNS720892 GXO720892 HHK720892 HRG720892 IBC720892 IKY720892 IUU720892 JEQ720892 JOM720892 JYI720892 KIE720892 KSA720892 LBW720892 LLS720892 LVO720892 MFK720892 MPG720892 MZC720892 NIY720892 NSU720892 OCQ720892 OMM720892 OWI720892 PGE720892 PQA720892 PZW720892 QJS720892 QTO720892 RDK720892 RNG720892 RXC720892 SGY720892 SQU720892 TAQ720892 TKM720892 TUI720892 UEE720892 UOA720892 UXW720892 VHS720892 VRO720892 WBK720892 WLG720892 WVC720892 A786428:B786428 IQ786428 SM786428 ACI786428 AME786428 AWA786428 BFW786428 BPS786428 BZO786428 CJK786428 CTG786428 DDC786428 DMY786428 DWU786428 EGQ786428 EQM786428 FAI786428 FKE786428 FUA786428 GDW786428 GNS786428 GXO786428 HHK786428 HRG786428 IBC786428 IKY786428 IUU786428 JEQ786428 JOM786428 JYI786428 KIE786428 KSA786428 LBW786428 LLS786428 LVO786428 MFK786428 MPG786428 MZC786428 NIY786428 NSU786428 OCQ786428 OMM786428 OWI786428 PGE786428 PQA786428 PZW786428 QJS786428 QTO786428 RDK786428 RNG786428 RXC786428 SGY786428 SQU786428 TAQ786428 TKM786428 TUI786428 UEE786428 UOA786428 UXW786428 VHS786428 VRO786428 WBK786428 WLG786428 WVC786428 A851964:B851964 IQ851964 SM851964 ACI851964 AME851964 AWA851964 BFW851964 BPS851964 BZO851964 CJK851964 CTG851964 DDC851964 DMY851964 DWU851964 EGQ851964 EQM851964 FAI851964 FKE851964 FUA851964 GDW851964 GNS851964 GXO851964 HHK851964 HRG851964 IBC851964 IKY851964 IUU851964 JEQ851964 JOM851964 JYI851964 KIE851964 KSA851964 LBW851964 LLS851964 LVO851964 MFK851964 MPG851964 MZC851964 NIY851964 NSU851964 OCQ851964 OMM851964 OWI851964 PGE851964 PQA851964 PZW851964 QJS851964 QTO851964 RDK851964 RNG851964 RXC851964 SGY851964 SQU851964 TAQ851964 TKM851964 TUI851964 UEE851964 UOA851964 UXW851964 VHS851964 VRO851964 WBK851964 WLG851964 WVC851964 A917500:B917500 IQ917500 SM917500 ACI917500 AME917500 AWA917500 BFW917500 BPS917500 BZO917500 CJK917500 CTG917500 DDC917500 DMY917500 DWU917500 EGQ917500 EQM917500 FAI917500 FKE917500 FUA917500 GDW917500 GNS917500 GXO917500 HHK917500 HRG917500 IBC917500 IKY917500 IUU917500 JEQ917500 JOM917500 JYI917500 KIE917500 KSA917500 LBW917500 LLS917500 LVO917500 MFK917500 MPG917500 MZC917500 NIY917500 NSU917500 OCQ917500 OMM917500 OWI917500 PGE917500 PQA917500 PZW917500 QJS917500 QTO917500 RDK917500 RNG917500 RXC917500 SGY917500 SQU917500 TAQ917500 TKM917500 TUI917500 UEE917500 UOA917500 UXW917500 VHS917500 VRO917500 WBK917500 WLG917500 WVC917500 A983036:B983036 IQ983036 SM983036 ACI983036 AME983036 AWA983036 BFW983036 BPS983036 BZO983036 CJK983036 CTG983036 DDC983036 DMY983036 DWU983036 EGQ983036 EQM983036 FAI983036 FKE983036 FUA983036 GDW983036 GNS983036 GXO983036 HHK983036 HRG983036 IBC983036 IKY983036 IUU983036 JEQ983036 JOM983036 JYI983036 KIE983036 KSA983036 LBW983036 LLS983036 LVO983036 MFK983036 MPG983036 MZC983036 NIY983036 NSU983036 OCQ983036 OMM983036 OWI983036 PGE983036 PQA983036 PZW983036 QJS983036 QTO983036 RDK983036 RNG983036 RXC983036 SGY983036 SQU983036 TAQ983036 TKM983036 TUI983036 UEE983036 UOA983036 UXW983036 VHS983036 VRO983036 WBK983036 WLG983036 A2" xr:uid="{A20D6ADE-EFBA-4BF1-A4AA-7A30E4FF42CF}">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s>
  <printOptions horizontalCentered="1"/>
  <pageMargins left="0.23622047244094491" right="0.11811023622047245" top="0.39370078740157483" bottom="0.23622047244094491" header="0.39370078740157483" footer="0.31496062992125984"/>
  <pageSetup paperSize="9" scale="34" orientation="landscape" r:id="rId1"/>
  <headerFooter alignWithMargins="0"/>
  <ignoredErrors>
    <ignoredError sqref="L7:L8 M7:M8 M6 L6 Q7:Q8 L15:M17" unlockedFormula="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A4BCCE3B-5B14-4FDA-82E7-7220D14035D6}">
          <x14:formula1>
            <xm:f>Ref!$B$2:$B$18</xm:f>
          </x14:formula1>
          <xm:sqref>D6 D27 D15 D18 D21 D24 D9 D12</xm:sqref>
        </x14:dataValidation>
        <x14:dataValidation type="list" allowBlank="1" showInputMessage="1" showErrorMessage="1" xr:uid="{E5CAC25B-5580-4F9A-835D-46D5288DD975}">
          <x14:formula1>
            <xm:f>Ref!$C$2:$C$16</xm:f>
          </x14:formula1>
          <xm:sqref>E6 E21 E18 E12 E24 E27 E9 E15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C4B91-2758-48E3-91D9-7474526349FA}">
  <sheetPr codeName="Sheet5">
    <tabColor rgb="FF92D050"/>
    <pageSetUpPr fitToPage="1"/>
  </sheetPr>
  <dimension ref="A1:WVY295"/>
  <sheetViews>
    <sheetView topLeftCell="A49" zoomScale="80" zoomScaleNormal="80" workbookViewId="0">
      <selection activeCell="G22" sqref="G22"/>
    </sheetView>
  </sheetViews>
  <sheetFormatPr defaultColWidth="0" defaultRowHeight="0" customHeight="1" zeroHeight="1"/>
  <cols>
    <col min="1" max="1" width="6.88671875" style="58" customWidth="1"/>
    <col min="2" max="2" width="20.77734375" style="58" customWidth="1"/>
    <col min="3" max="3" width="23.6640625" style="58" bestFit="1" customWidth="1"/>
    <col min="4" max="4" width="31.77734375" style="58" customWidth="1"/>
    <col min="5" max="5" width="16.109375" style="67" bestFit="1" customWidth="1"/>
    <col min="6" max="6" width="14.109375" style="67" customWidth="1"/>
    <col min="7" max="7" width="16.5546875" style="67" bestFit="1" customWidth="1"/>
    <col min="8" max="8" width="14.5546875" style="67" customWidth="1"/>
    <col min="9" max="9" width="15" style="67" customWidth="1"/>
    <col min="10" max="10" width="16.6640625" style="67" customWidth="1"/>
    <col min="11" max="11" width="17.88671875" style="58" bestFit="1" customWidth="1"/>
    <col min="12" max="12" width="11.77734375" style="58" customWidth="1"/>
    <col min="13" max="13" width="17.77734375" style="58" customWidth="1"/>
    <col min="14" max="16" width="8" style="58" customWidth="1"/>
    <col min="17" max="256" width="9.109375" style="58" hidden="1"/>
    <col min="257" max="257" width="6.88671875" style="58" customWidth="1"/>
    <col min="258" max="258" width="23.33203125" style="58" customWidth="1"/>
    <col min="259" max="259" width="42.88671875" style="58" customWidth="1"/>
    <col min="260" max="260" width="14" style="58" customWidth="1"/>
    <col min="261" max="261" width="14.109375" style="58" customWidth="1"/>
    <col min="262" max="262" width="13" style="58" customWidth="1"/>
    <col min="263" max="263" width="14" style="58" customWidth="1"/>
    <col min="264" max="264" width="15" style="58" customWidth="1"/>
    <col min="265" max="265" width="15.21875" style="58" customWidth="1"/>
    <col min="266" max="266" width="1.88671875" style="58" customWidth="1"/>
    <col min="267" max="267" width="10.5546875" style="58" customWidth="1"/>
    <col min="268" max="272" width="8" style="58" customWidth="1"/>
    <col min="273" max="512" width="9.109375" style="58" hidden="1"/>
    <col min="513" max="513" width="6.88671875" style="58" customWidth="1"/>
    <col min="514" max="514" width="23.33203125" style="58" customWidth="1"/>
    <col min="515" max="515" width="42.88671875" style="58" customWidth="1"/>
    <col min="516" max="516" width="14" style="58" customWidth="1"/>
    <col min="517" max="517" width="14.109375" style="58" customWidth="1"/>
    <col min="518" max="518" width="13" style="58" customWidth="1"/>
    <col min="519" max="519" width="14" style="58" customWidth="1"/>
    <col min="520" max="520" width="15" style="58" customWidth="1"/>
    <col min="521" max="521" width="15.21875" style="58" customWidth="1"/>
    <col min="522" max="522" width="1.88671875" style="58" customWidth="1"/>
    <col min="523" max="523" width="10.5546875" style="58" customWidth="1"/>
    <col min="524" max="528" width="8" style="58" customWidth="1"/>
    <col min="529" max="768" width="9.109375" style="58" hidden="1"/>
    <col min="769" max="769" width="6.88671875" style="58" customWidth="1"/>
    <col min="770" max="770" width="23.33203125" style="58" customWidth="1"/>
    <col min="771" max="771" width="42.88671875" style="58" customWidth="1"/>
    <col min="772" max="772" width="14" style="58" customWidth="1"/>
    <col min="773" max="773" width="14.109375" style="58" customWidth="1"/>
    <col min="774" max="774" width="13" style="58" customWidth="1"/>
    <col min="775" max="775" width="14" style="58" customWidth="1"/>
    <col min="776" max="776" width="15" style="58" customWidth="1"/>
    <col min="777" max="777" width="15.21875" style="58" customWidth="1"/>
    <col min="778" max="778" width="1.88671875" style="58" customWidth="1"/>
    <col min="779" max="779" width="10.5546875" style="58" customWidth="1"/>
    <col min="780" max="784" width="8" style="58" customWidth="1"/>
    <col min="785" max="1024" width="9.109375" style="58" hidden="1"/>
    <col min="1025" max="1025" width="6.88671875" style="58" customWidth="1"/>
    <col min="1026" max="1026" width="23.33203125" style="58" customWidth="1"/>
    <col min="1027" max="1027" width="42.88671875" style="58" customWidth="1"/>
    <col min="1028" max="1028" width="14" style="58" customWidth="1"/>
    <col min="1029" max="1029" width="14.109375" style="58" customWidth="1"/>
    <col min="1030" max="1030" width="13" style="58" customWidth="1"/>
    <col min="1031" max="1031" width="14" style="58" customWidth="1"/>
    <col min="1032" max="1032" width="15" style="58" customWidth="1"/>
    <col min="1033" max="1033" width="15.21875" style="58" customWidth="1"/>
    <col min="1034" max="1034" width="1.88671875" style="58" customWidth="1"/>
    <col min="1035" max="1035" width="10.5546875" style="58" customWidth="1"/>
    <col min="1036" max="1040" width="8" style="58" customWidth="1"/>
    <col min="1041" max="1280" width="9.109375" style="58" hidden="1"/>
    <col min="1281" max="1281" width="6.88671875" style="58" customWidth="1"/>
    <col min="1282" max="1282" width="23.33203125" style="58" customWidth="1"/>
    <col min="1283" max="1283" width="42.88671875" style="58" customWidth="1"/>
    <col min="1284" max="1284" width="14" style="58" customWidth="1"/>
    <col min="1285" max="1285" width="14.109375" style="58" customWidth="1"/>
    <col min="1286" max="1286" width="13" style="58" customWidth="1"/>
    <col min="1287" max="1287" width="14" style="58" customWidth="1"/>
    <col min="1288" max="1288" width="15" style="58" customWidth="1"/>
    <col min="1289" max="1289" width="15.21875" style="58" customWidth="1"/>
    <col min="1290" max="1290" width="1.88671875" style="58" customWidth="1"/>
    <col min="1291" max="1291" width="10.5546875" style="58" customWidth="1"/>
    <col min="1292" max="1296" width="8" style="58" customWidth="1"/>
    <col min="1297" max="1536" width="9.109375" style="58" hidden="1"/>
    <col min="1537" max="1537" width="6.88671875" style="58" customWidth="1"/>
    <col min="1538" max="1538" width="23.33203125" style="58" customWidth="1"/>
    <col min="1539" max="1539" width="42.88671875" style="58" customWidth="1"/>
    <col min="1540" max="1540" width="14" style="58" customWidth="1"/>
    <col min="1541" max="1541" width="14.109375" style="58" customWidth="1"/>
    <col min="1542" max="1542" width="13" style="58" customWidth="1"/>
    <col min="1543" max="1543" width="14" style="58" customWidth="1"/>
    <col min="1544" max="1544" width="15" style="58" customWidth="1"/>
    <col min="1545" max="1545" width="15.21875" style="58" customWidth="1"/>
    <col min="1546" max="1546" width="1.88671875" style="58" customWidth="1"/>
    <col min="1547" max="1547" width="10.5546875" style="58" customWidth="1"/>
    <col min="1548" max="1552" width="8" style="58" customWidth="1"/>
    <col min="1553" max="1792" width="9.109375" style="58" hidden="1"/>
    <col min="1793" max="1793" width="6.88671875" style="58" customWidth="1"/>
    <col min="1794" max="1794" width="23.33203125" style="58" customWidth="1"/>
    <col min="1795" max="1795" width="42.88671875" style="58" customWidth="1"/>
    <col min="1796" max="1796" width="14" style="58" customWidth="1"/>
    <col min="1797" max="1797" width="14.109375" style="58" customWidth="1"/>
    <col min="1798" max="1798" width="13" style="58" customWidth="1"/>
    <col min="1799" max="1799" width="14" style="58" customWidth="1"/>
    <col min="1800" max="1800" width="15" style="58" customWidth="1"/>
    <col min="1801" max="1801" width="15.21875" style="58" customWidth="1"/>
    <col min="1802" max="1802" width="1.88671875" style="58" customWidth="1"/>
    <col min="1803" max="1803" width="10.5546875" style="58" customWidth="1"/>
    <col min="1804" max="1808" width="8" style="58" customWidth="1"/>
    <col min="1809" max="2048" width="9.109375" style="58" hidden="1"/>
    <col min="2049" max="2049" width="6.88671875" style="58" customWidth="1"/>
    <col min="2050" max="2050" width="23.33203125" style="58" customWidth="1"/>
    <col min="2051" max="2051" width="42.88671875" style="58" customWidth="1"/>
    <col min="2052" max="2052" width="14" style="58" customWidth="1"/>
    <col min="2053" max="2053" width="14.109375" style="58" customWidth="1"/>
    <col min="2054" max="2054" width="13" style="58" customWidth="1"/>
    <col min="2055" max="2055" width="14" style="58" customWidth="1"/>
    <col min="2056" max="2056" width="15" style="58" customWidth="1"/>
    <col min="2057" max="2057" width="15.21875" style="58" customWidth="1"/>
    <col min="2058" max="2058" width="1.88671875" style="58" customWidth="1"/>
    <col min="2059" max="2059" width="10.5546875" style="58" customWidth="1"/>
    <col min="2060" max="2064" width="8" style="58" customWidth="1"/>
    <col min="2065" max="2304" width="9.109375" style="58" hidden="1"/>
    <col min="2305" max="2305" width="6.88671875" style="58" customWidth="1"/>
    <col min="2306" max="2306" width="23.33203125" style="58" customWidth="1"/>
    <col min="2307" max="2307" width="42.88671875" style="58" customWidth="1"/>
    <col min="2308" max="2308" width="14" style="58" customWidth="1"/>
    <col min="2309" max="2309" width="14.109375" style="58" customWidth="1"/>
    <col min="2310" max="2310" width="13" style="58" customWidth="1"/>
    <col min="2311" max="2311" width="14" style="58" customWidth="1"/>
    <col min="2312" max="2312" width="15" style="58" customWidth="1"/>
    <col min="2313" max="2313" width="15.21875" style="58" customWidth="1"/>
    <col min="2314" max="2314" width="1.88671875" style="58" customWidth="1"/>
    <col min="2315" max="2315" width="10.5546875" style="58" customWidth="1"/>
    <col min="2316" max="2320" width="8" style="58" customWidth="1"/>
    <col min="2321" max="2560" width="9.109375" style="58" hidden="1"/>
    <col min="2561" max="2561" width="6.88671875" style="58" customWidth="1"/>
    <col min="2562" max="2562" width="23.33203125" style="58" customWidth="1"/>
    <col min="2563" max="2563" width="42.88671875" style="58" customWidth="1"/>
    <col min="2564" max="2564" width="14" style="58" customWidth="1"/>
    <col min="2565" max="2565" width="14.109375" style="58" customWidth="1"/>
    <col min="2566" max="2566" width="13" style="58" customWidth="1"/>
    <col min="2567" max="2567" width="14" style="58" customWidth="1"/>
    <col min="2568" max="2568" width="15" style="58" customWidth="1"/>
    <col min="2569" max="2569" width="15.21875" style="58" customWidth="1"/>
    <col min="2570" max="2570" width="1.88671875" style="58" customWidth="1"/>
    <col min="2571" max="2571" width="10.5546875" style="58" customWidth="1"/>
    <col min="2572" max="2576" width="8" style="58" customWidth="1"/>
    <col min="2577" max="2816" width="9.109375" style="58" hidden="1"/>
    <col min="2817" max="2817" width="6.88671875" style="58" customWidth="1"/>
    <col min="2818" max="2818" width="23.33203125" style="58" customWidth="1"/>
    <col min="2819" max="2819" width="42.88671875" style="58" customWidth="1"/>
    <col min="2820" max="2820" width="14" style="58" customWidth="1"/>
    <col min="2821" max="2821" width="14.109375" style="58" customWidth="1"/>
    <col min="2822" max="2822" width="13" style="58" customWidth="1"/>
    <col min="2823" max="2823" width="14" style="58" customWidth="1"/>
    <col min="2824" max="2824" width="15" style="58" customWidth="1"/>
    <col min="2825" max="2825" width="15.21875" style="58" customWidth="1"/>
    <col min="2826" max="2826" width="1.88671875" style="58" customWidth="1"/>
    <col min="2827" max="2827" width="10.5546875" style="58" customWidth="1"/>
    <col min="2828" max="2832" width="8" style="58" customWidth="1"/>
    <col min="2833" max="3072" width="9.109375" style="58" hidden="1"/>
    <col min="3073" max="3073" width="6.88671875" style="58" customWidth="1"/>
    <col min="3074" max="3074" width="23.33203125" style="58" customWidth="1"/>
    <col min="3075" max="3075" width="42.88671875" style="58" customWidth="1"/>
    <col min="3076" max="3076" width="14" style="58" customWidth="1"/>
    <col min="3077" max="3077" width="14.109375" style="58" customWidth="1"/>
    <col min="3078" max="3078" width="13" style="58" customWidth="1"/>
    <col min="3079" max="3079" width="14" style="58" customWidth="1"/>
    <col min="3080" max="3080" width="15" style="58" customWidth="1"/>
    <col min="3081" max="3081" width="15.21875" style="58" customWidth="1"/>
    <col min="3082" max="3082" width="1.88671875" style="58" customWidth="1"/>
    <col min="3083" max="3083" width="10.5546875" style="58" customWidth="1"/>
    <col min="3084" max="3088" width="8" style="58" customWidth="1"/>
    <col min="3089" max="3328" width="9.109375" style="58" hidden="1"/>
    <col min="3329" max="3329" width="6.88671875" style="58" customWidth="1"/>
    <col min="3330" max="3330" width="23.33203125" style="58" customWidth="1"/>
    <col min="3331" max="3331" width="42.88671875" style="58" customWidth="1"/>
    <col min="3332" max="3332" width="14" style="58" customWidth="1"/>
    <col min="3333" max="3333" width="14.109375" style="58" customWidth="1"/>
    <col min="3334" max="3334" width="13" style="58" customWidth="1"/>
    <col min="3335" max="3335" width="14" style="58" customWidth="1"/>
    <col min="3336" max="3336" width="15" style="58" customWidth="1"/>
    <col min="3337" max="3337" width="15.21875" style="58" customWidth="1"/>
    <col min="3338" max="3338" width="1.88671875" style="58" customWidth="1"/>
    <col min="3339" max="3339" width="10.5546875" style="58" customWidth="1"/>
    <col min="3340" max="3344" width="8" style="58" customWidth="1"/>
    <col min="3345" max="3584" width="9.109375" style="58" hidden="1"/>
    <col min="3585" max="3585" width="6.88671875" style="58" customWidth="1"/>
    <col min="3586" max="3586" width="23.33203125" style="58" customWidth="1"/>
    <col min="3587" max="3587" width="42.88671875" style="58" customWidth="1"/>
    <col min="3588" max="3588" width="14" style="58" customWidth="1"/>
    <col min="3589" max="3589" width="14.109375" style="58" customWidth="1"/>
    <col min="3590" max="3590" width="13" style="58" customWidth="1"/>
    <col min="3591" max="3591" width="14" style="58" customWidth="1"/>
    <col min="3592" max="3592" width="15" style="58" customWidth="1"/>
    <col min="3593" max="3593" width="15.21875" style="58" customWidth="1"/>
    <col min="3594" max="3594" width="1.88671875" style="58" customWidth="1"/>
    <col min="3595" max="3595" width="10.5546875" style="58" customWidth="1"/>
    <col min="3596" max="3600" width="8" style="58" customWidth="1"/>
    <col min="3601" max="3840" width="9.109375" style="58" hidden="1"/>
    <col min="3841" max="3841" width="6.88671875" style="58" customWidth="1"/>
    <col min="3842" max="3842" width="23.33203125" style="58" customWidth="1"/>
    <col min="3843" max="3843" width="42.88671875" style="58" customWidth="1"/>
    <col min="3844" max="3844" width="14" style="58" customWidth="1"/>
    <col min="3845" max="3845" width="14.109375" style="58" customWidth="1"/>
    <col min="3846" max="3846" width="13" style="58" customWidth="1"/>
    <col min="3847" max="3847" width="14" style="58" customWidth="1"/>
    <col min="3848" max="3848" width="15" style="58" customWidth="1"/>
    <col min="3849" max="3849" width="15.21875" style="58" customWidth="1"/>
    <col min="3850" max="3850" width="1.88671875" style="58" customWidth="1"/>
    <col min="3851" max="3851" width="10.5546875" style="58" customWidth="1"/>
    <col min="3852" max="3856" width="8" style="58" customWidth="1"/>
    <col min="3857" max="4096" width="9.109375" style="58" hidden="1"/>
    <col min="4097" max="4097" width="6.88671875" style="58" customWidth="1"/>
    <col min="4098" max="4098" width="23.33203125" style="58" customWidth="1"/>
    <col min="4099" max="4099" width="42.88671875" style="58" customWidth="1"/>
    <col min="4100" max="4100" width="14" style="58" customWidth="1"/>
    <col min="4101" max="4101" width="14.109375" style="58" customWidth="1"/>
    <col min="4102" max="4102" width="13" style="58" customWidth="1"/>
    <col min="4103" max="4103" width="14" style="58" customWidth="1"/>
    <col min="4104" max="4104" width="15" style="58" customWidth="1"/>
    <col min="4105" max="4105" width="15.21875" style="58" customWidth="1"/>
    <col min="4106" max="4106" width="1.88671875" style="58" customWidth="1"/>
    <col min="4107" max="4107" width="10.5546875" style="58" customWidth="1"/>
    <col min="4108" max="4112" width="8" style="58" customWidth="1"/>
    <col min="4113" max="4352" width="9.109375" style="58" hidden="1"/>
    <col min="4353" max="4353" width="6.88671875" style="58" customWidth="1"/>
    <col min="4354" max="4354" width="23.33203125" style="58" customWidth="1"/>
    <col min="4355" max="4355" width="42.88671875" style="58" customWidth="1"/>
    <col min="4356" max="4356" width="14" style="58" customWidth="1"/>
    <col min="4357" max="4357" width="14.109375" style="58" customWidth="1"/>
    <col min="4358" max="4358" width="13" style="58" customWidth="1"/>
    <col min="4359" max="4359" width="14" style="58" customWidth="1"/>
    <col min="4360" max="4360" width="15" style="58" customWidth="1"/>
    <col min="4361" max="4361" width="15.21875" style="58" customWidth="1"/>
    <col min="4362" max="4362" width="1.88671875" style="58" customWidth="1"/>
    <col min="4363" max="4363" width="10.5546875" style="58" customWidth="1"/>
    <col min="4364" max="4368" width="8" style="58" customWidth="1"/>
    <col min="4369" max="4608" width="9.109375" style="58" hidden="1"/>
    <col min="4609" max="4609" width="6.88671875" style="58" customWidth="1"/>
    <col min="4610" max="4610" width="23.33203125" style="58" customWidth="1"/>
    <col min="4611" max="4611" width="42.88671875" style="58" customWidth="1"/>
    <col min="4612" max="4612" width="14" style="58" customWidth="1"/>
    <col min="4613" max="4613" width="14.109375" style="58" customWidth="1"/>
    <col min="4614" max="4614" width="13" style="58" customWidth="1"/>
    <col min="4615" max="4615" width="14" style="58" customWidth="1"/>
    <col min="4616" max="4616" width="15" style="58" customWidth="1"/>
    <col min="4617" max="4617" width="15.21875" style="58" customWidth="1"/>
    <col min="4618" max="4618" width="1.88671875" style="58" customWidth="1"/>
    <col min="4619" max="4619" width="10.5546875" style="58" customWidth="1"/>
    <col min="4620" max="4624" width="8" style="58" customWidth="1"/>
    <col min="4625" max="4864" width="9.109375" style="58" hidden="1"/>
    <col min="4865" max="4865" width="6.88671875" style="58" customWidth="1"/>
    <col min="4866" max="4866" width="23.33203125" style="58" customWidth="1"/>
    <col min="4867" max="4867" width="42.88671875" style="58" customWidth="1"/>
    <col min="4868" max="4868" width="14" style="58" customWidth="1"/>
    <col min="4869" max="4869" width="14.109375" style="58" customWidth="1"/>
    <col min="4870" max="4870" width="13" style="58" customWidth="1"/>
    <col min="4871" max="4871" width="14" style="58" customWidth="1"/>
    <col min="4872" max="4872" width="15" style="58" customWidth="1"/>
    <col min="4873" max="4873" width="15.21875" style="58" customWidth="1"/>
    <col min="4874" max="4874" width="1.88671875" style="58" customWidth="1"/>
    <col min="4875" max="4875" width="10.5546875" style="58" customWidth="1"/>
    <col min="4876" max="4880" width="8" style="58" customWidth="1"/>
    <col min="4881" max="5120" width="9.109375" style="58" hidden="1"/>
    <col min="5121" max="5121" width="6.88671875" style="58" customWidth="1"/>
    <col min="5122" max="5122" width="23.33203125" style="58" customWidth="1"/>
    <col min="5123" max="5123" width="42.88671875" style="58" customWidth="1"/>
    <col min="5124" max="5124" width="14" style="58" customWidth="1"/>
    <col min="5125" max="5125" width="14.109375" style="58" customWidth="1"/>
    <col min="5126" max="5126" width="13" style="58" customWidth="1"/>
    <col min="5127" max="5127" width="14" style="58" customWidth="1"/>
    <col min="5128" max="5128" width="15" style="58" customWidth="1"/>
    <col min="5129" max="5129" width="15.21875" style="58" customWidth="1"/>
    <col min="5130" max="5130" width="1.88671875" style="58" customWidth="1"/>
    <col min="5131" max="5131" width="10.5546875" style="58" customWidth="1"/>
    <col min="5132" max="5136" width="8" style="58" customWidth="1"/>
    <col min="5137" max="5376" width="9.109375" style="58" hidden="1"/>
    <col min="5377" max="5377" width="6.88671875" style="58" customWidth="1"/>
    <col min="5378" max="5378" width="23.33203125" style="58" customWidth="1"/>
    <col min="5379" max="5379" width="42.88671875" style="58" customWidth="1"/>
    <col min="5380" max="5380" width="14" style="58" customWidth="1"/>
    <col min="5381" max="5381" width="14.109375" style="58" customWidth="1"/>
    <col min="5382" max="5382" width="13" style="58" customWidth="1"/>
    <col min="5383" max="5383" width="14" style="58" customWidth="1"/>
    <col min="5384" max="5384" width="15" style="58" customWidth="1"/>
    <col min="5385" max="5385" width="15.21875" style="58" customWidth="1"/>
    <col min="5386" max="5386" width="1.88671875" style="58" customWidth="1"/>
    <col min="5387" max="5387" width="10.5546875" style="58" customWidth="1"/>
    <col min="5388" max="5392" width="8" style="58" customWidth="1"/>
    <col min="5393" max="5632" width="9.109375" style="58" hidden="1"/>
    <col min="5633" max="5633" width="6.88671875" style="58" customWidth="1"/>
    <col min="5634" max="5634" width="23.33203125" style="58" customWidth="1"/>
    <col min="5635" max="5635" width="42.88671875" style="58" customWidth="1"/>
    <col min="5636" max="5636" width="14" style="58" customWidth="1"/>
    <col min="5637" max="5637" width="14.109375" style="58" customWidth="1"/>
    <col min="5638" max="5638" width="13" style="58" customWidth="1"/>
    <col min="5639" max="5639" width="14" style="58" customWidth="1"/>
    <col min="5640" max="5640" width="15" style="58" customWidth="1"/>
    <col min="5641" max="5641" width="15.21875" style="58" customWidth="1"/>
    <col min="5642" max="5642" width="1.88671875" style="58" customWidth="1"/>
    <col min="5643" max="5643" width="10.5546875" style="58" customWidth="1"/>
    <col min="5644" max="5648" width="8" style="58" customWidth="1"/>
    <col min="5649" max="5888" width="9.109375" style="58" hidden="1"/>
    <col min="5889" max="5889" width="6.88671875" style="58" customWidth="1"/>
    <col min="5890" max="5890" width="23.33203125" style="58" customWidth="1"/>
    <col min="5891" max="5891" width="42.88671875" style="58" customWidth="1"/>
    <col min="5892" max="5892" width="14" style="58" customWidth="1"/>
    <col min="5893" max="5893" width="14.109375" style="58" customWidth="1"/>
    <col min="5894" max="5894" width="13" style="58" customWidth="1"/>
    <col min="5895" max="5895" width="14" style="58" customWidth="1"/>
    <col min="5896" max="5896" width="15" style="58" customWidth="1"/>
    <col min="5897" max="5897" width="15.21875" style="58" customWidth="1"/>
    <col min="5898" max="5898" width="1.88671875" style="58" customWidth="1"/>
    <col min="5899" max="5899" width="10.5546875" style="58" customWidth="1"/>
    <col min="5900" max="5904" width="8" style="58" customWidth="1"/>
    <col min="5905" max="6144" width="9.109375" style="58" hidden="1"/>
    <col min="6145" max="6145" width="6.88671875" style="58" customWidth="1"/>
    <col min="6146" max="6146" width="23.33203125" style="58" customWidth="1"/>
    <col min="6147" max="6147" width="42.88671875" style="58" customWidth="1"/>
    <col min="6148" max="6148" width="14" style="58" customWidth="1"/>
    <col min="6149" max="6149" width="14.109375" style="58" customWidth="1"/>
    <col min="6150" max="6150" width="13" style="58" customWidth="1"/>
    <col min="6151" max="6151" width="14" style="58" customWidth="1"/>
    <col min="6152" max="6152" width="15" style="58" customWidth="1"/>
    <col min="6153" max="6153" width="15.21875" style="58" customWidth="1"/>
    <col min="6154" max="6154" width="1.88671875" style="58" customWidth="1"/>
    <col min="6155" max="6155" width="10.5546875" style="58" customWidth="1"/>
    <col min="6156" max="6160" width="8" style="58" customWidth="1"/>
    <col min="6161" max="6400" width="9.109375" style="58" hidden="1"/>
    <col min="6401" max="6401" width="6.88671875" style="58" customWidth="1"/>
    <col min="6402" max="6402" width="23.33203125" style="58" customWidth="1"/>
    <col min="6403" max="6403" width="42.88671875" style="58" customWidth="1"/>
    <col min="6404" max="6404" width="14" style="58" customWidth="1"/>
    <col min="6405" max="6405" width="14.109375" style="58" customWidth="1"/>
    <col min="6406" max="6406" width="13" style="58" customWidth="1"/>
    <col min="6407" max="6407" width="14" style="58" customWidth="1"/>
    <col min="6408" max="6408" width="15" style="58" customWidth="1"/>
    <col min="6409" max="6409" width="15.21875" style="58" customWidth="1"/>
    <col min="6410" max="6410" width="1.88671875" style="58" customWidth="1"/>
    <col min="6411" max="6411" width="10.5546875" style="58" customWidth="1"/>
    <col min="6412" max="6416" width="8" style="58" customWidth="1"/>
    <col min="6417" max="6656" width="9.109375" style="58" hidden="1"/>
    <col min="6657" max="6657" width="6.88671875" style="58" customWidth="1"/>
    <col min="6658" max="6658" width="23.33203125" style="58" customWidth="1"/>
    <col min="6659" max="6659" width="42.88671875" style="58" customWidth="1"/>
    <col min="6660" max="6660" width="14" style="58" customWidth="1"/>
    <col min="6661" max="6661" width="14.109375" style="58" customWidth="1"/>
    <col min="6662" max="6662" width="13" style="58" customWidth="1"/>
    <col min="6663" max="6663" width="14" style="58" customWidth="1"/>
    <col min="6664" max="6664" width="15" style="58" customWidth="1"/>
    <col min="6665" max="6665" width="15.21875" style="58" customWidth="1"/>
    <col min="6666" max="6666" width="1.88671875" style="58" customWidth="1"/>
    <col min="6667" max="6667" width="10.5546875" style="58" customWidth="1"/>
    <col min="6668" max="6672" width="8" style="58" customWidth="1"/>
    <col min="6673" max="6912" width="9.109375" style="58" hidden="1"/>
    <col min="6913" max="6913" width="6.88671875" style="58" customWidth="1"/>
    <col min="6914" max="6914" width="23.33203125" style="58" customWidth="1"/>
    <col min="6915" max="6915" width="42.88671875" style="58" customWidth="1"/>
    <col min="6916" max="6916" width="14" style="58" customWidth="1"/>
    <col min="6917" max="6917" width="14.109375" style="58" customWidth="1"/>
    <col min="6918" max="6918" width="13" style="58" customWidth="1"/>
    <col min="6919" max="6919" width="14" style="58" customWidth="1"/>
    <col min="6920" max="6920" width="15" style="58" customWidth="1"/>
    <col min="6921" max="6921" width="15.21875" style="58" customWidth="1"/>
    <col min="6922" max="6922" width="1.88671875" style="58" customWidth="1"/>
    <col min="6923" max="6923" width="10.5546875" style="58" customWidth="1"/>
    <col min="6924" max="6928" width="8" style="58" customWidth="1"/>
    <col min="6929" max="7168" width="9.109375" style="58" hidden="1"/>
    <col min="7169" max="7169" width="6.88671875" style="58" customWidth="1"/>
    <col min="7170" max="7170" width="23.33203125" style="58" customWidth="1"/>
    <col min="7171" max="7171" width="42.88671875" style="58" customWidth="1"/>
    <col min="7172" max="7172" width="14" style="58" customWidth="1"/>
    <col min="7173" max="7173" width="14.109375" style="58" customWidth="1"/>
    <col min="7174" max="7174" width="13" style="58" customWidth="1"/>
    <col min="7175" max="7175" width="14" style="58" customWidth="1"/>
    <col min="7176" max="7176" width="15" style="58" customWidth="1"/>
    <col min="7177" max="7177" width="15.21875" style="58" customWidth="1"/>
    <col min="7178" max="7178" width="1.88671875" style="58" customWidth="1"/>
    <col min="7179" max="7179" width="10.5546875" style="58" customWidth="1"/>
    <col min="7180" max="7184" width="8" style="58" customWidth="1"/>
    <col min="7185" max="7424" width="9.109375" style="58" hidden="1"/>
    <col min="7425" max="7425" width="6.88671875" style="58" customWidth="1"/>
    <col min="7426" max="7426" width="23.33203125" style="58" customWidth="1"/>
    <col min="7427" max="7427" width="42.88671875" style="58" customWidth="1"/>
    <col min="7428" max="7428" width="14" style="58" customWidth="1"/>
    <col min="7429" max="7429" width="14.109375" style="58" customWidth="1"/>
    <col min="7430" max="7430" width="13" style="58" customWidth="1"/>
    <col min="7431" max="7431" width="14" style="58" customWidth="1"/>
    <col min="7432" max="7432" width="15" style="58" customWidth="1"/>
    <col min="7433" max="7433" width="15.21875" style="58" customWidth="1"/>
    <col min="7434" max="7434" width="1.88671875" style="58" customWidth="1"/>
    <col min="7435" max="7435" width="10.5546875" style="58" customWidth="1"/>
    <col min="7436" max="7440" width="8" style="58" customWidth="1"/>
    <col min="7441" max="7680" width="9.109375" style="58" hidden="1"/>
    <col min="7681" max="7681" width="6.88671875" style="58" customWidth="1"/>
    <col min="7682" max="7682" width="23.33203125" style="58" customWidth="1"/>
    <col min="7683" max="7683" width="42.88671875" style="58" customWidth="1"/>
    <col min="7684" max="7684" width="14" style="58" customWidth="1"/>
    <col min="7685" max="7685" width="14.109375" style="58" customWidth="1"/>
    <col min="7686" max="7686" width="13" style="58" customWidth="1"/>
    <col min="7687" max="7687" width="14" style="58" customWidth="1"/>
    <col min="7688" max="7688" width="15" style="58" customWidth="1"/>
    <col min="7689" max="7689" width="15.21875" style="58" customWidth="1"/>
    <col min="7690" max="7690" width="1.88671875" style="58" customWidth="1"/>
    <col min="7691" max="7691" width="10.5546875" style="58" customWidth="1"/>
    <col min="7692" max="7696" width="8" style="58" customWidth="1"/>
    <col min="7697" max="7936" width="9.109375" style="58" hidden="1"/>
    <col min="7937" max="7937" width="6.88671875" style="58" customWidth="1"/>
    <col min="7938" max="7938" width="23.33203125" style="58" customWidth="1"/>
    <col min="7939" max="7939" width="42.88671875" style="58" customWidth="1"/>
    <col min="7940" max="7940" width="14" style="58" customWidth="1"/>
    <col min="7941" max="7941" width="14.109375" style="58" customWidth="1"/>
    <col min="7942" max="7942" width="13" style="58" customWidth="1"/>
    <col min="7943" max="7943" width="14" style="58" customWidth="1"/>
    <col min="7944" max="7944" width="15" style="58" customWidth="1"/>
    <col min="7945" max="7945" width="15.21875" style="58" customWidth="1"/>
    <col min="7946" max="7946" width="1.88671875" style="58" customWidth="1"/>
    <col min="7947" max="7947" width="10.5546875" style="58" customWidth="1"/>
    <col min="7948" max="7952" width="8" style="58" customWidth="1"/>
    <col min="7953" max="8192" width="9.109375" style="58" hidden="1"/>
    <col min="8193" max="8193" width="6.88671875" style="58" customWidth="1"/>
    <col min="8194" max="8194" width="23.33203125" style="58" customWidth="1"/>
    <col min="8195" max="8195" width="42.88671875" style="58" customWidth="1"/>
    <col min="8196" max="8196" width="14" style="58" customWidth="1"/>
    <col min="8197" max="8197" width="14.109375" style="58" customWidth="1"/>
    <col min="8198" max="8198" width="13" style="58" customWidth="1"/>
    <col min="8199" max="8199" width="14" style="58" customWidth="1"/>
    <col min="8200" max="8200" width="15" style="58" customWidth="1"/>
    <col min="8201" max="8201" width="15.21875" style="58" customWidth="1"/>
    <col min="8202" max="8202" width="1.88671875" style="58" customWidth="1"/>
    <col min="8203" max="8203" width="10.5546875" style="58" customWidth="1"/>
    <col min="8204" max="8208" width="8" style="58" customWidth="1"/>
    <col min="8209" max="8448" width="9.109375" style="58" hidden="1"/>
    <col min="8449" max="8449" width="6.88671875" style="58" customWidth="1"/>
    <col min="8450" max="8450" width="23.33203125" style="58" customWidth="1"/>
    <col min="8451" max="8451" width="42.88671875" style="58" customWidth="1"/>
    <col min="8452" max="8452" width="14" style="58" customWidth="1"/>
    <col min="8453" max="8453" width="14.109375" style="58" customWidth="1"/>
    <col min="8454" max="8454" width="13" style="58" customWidth="1"/>
    <col min="8455" max="8455" width="14" style="58" customWidth="1"/>
    <col min="8456" max="8456" width="15" style="58" customWidth="1"/>
    <col min="8457" max="8457" width="15.21875" style="58" customWidth="1"/>
    <col min="8458" max="8458" width="1.88671875" style="58" customWidth="1"/>
    <col min="8459" max="8459" width="10.5546875" style="58" customWidth="1"/>
    <col min="8460" max="8464" width="8" style="58" customWidth="1"/>
    <col min="8465" max="8704" width="9.109375" style="58" hidden="1"/>
    <col min="8705" max="8705" width="6.88671875" style="58" customWidth="1"/>
    <col min="8706" max="8706" width="23.33203125" style="58" customWidth="1"/>
    <col min="8707" max="8707" width="42.88671875" style="58" customWidth="1"/>
    <col min="8708" max="8708" width="14" style="58" customWidth="1"/>
    <col min="8709" max="8709" width="14.109375" style="58" customWidth="1"/>
    <col min="8710" max="8710" width="13" style="58" customWidth="1"/>
    <col min="8711" max="8711" width="14" style="58" customWidth="1"/>
    <col min="8712" max="8712" width="15" style="58" customWidth="1"/>
    <col min="8713" max="8713" width="15.21875" style="58" customWidth="1"/>
    <col min="8714" max="8714" width="1.88671875" style="58" customWidth="1"/>
    <col min="8715" max="8715" width="10.5546875" style="58" customWidth="1"/>
    <col min="8716" max="8720" width="8" style="58" customWidth="1"/>
    <col min="8721" max="8960" width="9.109375" style="58" hidden="1"/>
    <col min="8961" max="8961" width="6.88671875" style="58" customWidth="1"/>
    <col min="8962" max="8962" width="23.33203125" style="58" customWidth="1"/>
    <col min="8963" max="8963" width="42.88671875" style="58" customWidth="1"/>
    <col min="8964" max="8964" width="14" style="58" customWidth="1"/>
    <col min="8965" max="8965" width="14.109375" style="58" customWidth="1"/>
    <col min="8966" max="8966" width="13" style="58" customWidth="1"/>
    <col min="8967" max="8967" width="14" style="58" customWidth="1"/>
    <col min="8968" max="8968" width="15" style="58" customWidth="1"/>
    <col min="8969" max="8969" width="15.21875" style="58" customWidth="1"/>
    <col min="8970" max="8970" width="1.88671875" style="58" customWidth="1"/>
    <col min="8971" max="8971" width="10.5546875" style="58" customWidth="1"/>
    <col min="8972" max="8976" width="8" style="58" customWidth="1"/>
    <col min="8977" max="9216" width="9.109375" style="58" hidden="1"/>
    <col min="9217" max="9217" width="6.88671875" style="58" customWidth="1"/>
    <col min="9218" max="9218" width="23.33203125" style="58" customWidth="1"/>
    <col min="9219" max="9219" width="42.88671875" style="58" customWidth="1"/>
    <col min="9220" max="9220" width="14" style="58" customWidth="1"/>
    <col min="9221" max="9221" width="14.109375" style="58" customWidth="1"/>
    <col min="9222" max="9222" width="13" style="58" customWidth="1"/>
    <col min="9223" max="9223" width="14" style="58" customWidth="1"/>
    <col min="9224" max="9224" width="15" style="58" customWidth="1"/>
    <col min="9225" max="9225" width="15.21875" style="58" customWidth="1"/>
    <col min="9226" max="9226" width="1.88671875" style="58" customWidth="1"/>
    <col min="9227" max="9227" width="10.5546875" style="58" customWidth="1"/>
    <col min="9228" max="9232" width="8" style="58" customWidth="1"/>
    <col min="9233" max="9472" width="9.109375" style="58" hidden="1"/>
    <col min="9473" max="9473" width="6.88671875" style="58" customWidth="1"/>
    <col min="9474" max="9474" width="23.33203125" style="58" customWidth="1"/>
    <col min="9475" max="9475" width="42.88671875" style="58" customWidth="1"/>
    <col min="9476" max="9476" width="14" style="58" customWidth="1"/>
    <col min="9477" max="9477" width="14.109375" style="58" customWidth="1"/>
    <col min="9478" max="9478" width="13" style="58" customWidth="1"/>
    <col min="9479" max="9479" width="14" style="58" customWidth="1"/>
    <col min="9480" max="9480" width="15" style="58" customWidth="1"/>
    <col min="9481" max="9481" width="15.21875" style="58" customWidth="1"/>
    <col min="9482" max="9482" width="1.88671875" style="58" customWidth="1"/>
    <col min="9483" max="9483" width="10.5546875" style="58" customWidth="1"/>
    <col min="9484" max="9488" width="8" style="58" customWidth="1"/>
    <col min="9489" max="9728" width="9.109375" style="58" hidden="1"/>
    <col min="9729" max="9729" width="6.88671875" style="58" customWidth="1"/>
    <col min="9730" max="9730" width="23.33203125" style="58" customWidth="1"/>
    <col min="9731" max="9731" width="42.88671875" style="58" customWidth="1"/>
    <col min="9732" max="9732" width="14" style="58" customWidth="1"/>
    <col min="9733" max="9733" width="14.109375" style="58" customWidth="1"/>
    <col min="9734" max="9734" width="13" style="58" customWidth="1"/>
    <col min="9735" max="9735" width="14" style="58" customWidth="1"/>
    <col min="9736" max="9736" width="15" style="58" customWidth="1"/>
    <col min="9737" max="9737" width="15.21875" style="58" customWidth="1"/>
    <col min="9738" max="9738" width="1.88671875" style="58" customWidth="1"/>
    <col min="9739" max="9739" width="10.5546875" style="58" customWidth="1"/>
    <col min="9740" max="9744" width="8" style="58" customWidth="1"/>
    <col min="9745" max="9984" width="9.109375" style="58" hidden="1"/>
    <col min="9985" max="9985" width="6.88671875" style="58" customWidth="1"/>
    <col min="9986" max="9986" width="23.33203125" style="58" customWidth="1"/>
    <col min="9987" max="9987" width="42.88671875" style="58" customWidth="1"/>
    <col min="9988" max="9988" width="14" style="58" customWidth="1"/>
    <col min="9989" max="9989" width="14.109375" style="58" customWidth="1"/>
    <col min="9990" max="9990" width="13" style="58" customWidth="1"/>
    <col min="9991" max="9991" width="14" style="58" customWidth="1"/>
    <col min="9992" max="9992" width="15" style="58" customWidth="1"/>
    <col min="9993" max="9993" width="15.21875" style="58" customWidth="1"/>
    <col min="9994" max="9994" width="1.88671875" style="58" customWidth="1"/>
    <col min="9995" max="9995" width="10.5546875" style="58" customWidth="1"/>
    <col min="9996" max="10000" width="8" style="58" customWidth="1"/>
    <col min="10001" max="10240" width="9.109375" style="58" hidden="1"/>
    <col min="10241" max="10241" width="6.88671875" style="58" customWidth="1"/>
    <col min="10242" max="10242" width="23.33203125" style="58" customWidth="1"/>
    <col min="10243" max="10243" width="42.88671875" style="58" customWidth="1"/>
    <col min="10244" max="10244" width="14" style="58" customWidth="1"/>
    <col min="10245" max="10245" width="14.109375" style="58" customWidth="1"/>
    <col min="10246" max="10246" width="13" style="58" customWidth="1"/>
    <col min="10247" max="10247" width="14" style="58" customWidth="1"/>
    <col min="10248" max="10248" width="15" style="58" customWidth="1"/>
    <col min="10249" max="10249" width="15.21875" style="58" customWidth="1"/>
    <col min="10250" max="10250" width="1.88671875" style="58" customWidth="1"/>
    <col min="10251" max="10251" width="10.5546875" style="58" customWidth="1"/>
    <col min="10252" max="10256" width="8" style="58" customWidth="1"/>
    <col min="10257" max="10496" width="9.109375" style="58" hidden="1"/>
    <col min="10497" max="10497" width="6.88671875" style="58" customWidth="1"/>
    <col min="10498" max="10498" width="23.33203125" style="58" customWidth="1"/>
    <col min="10499" max="10499" width="42.88671875" style="58" customWidth="1"/>
    <col min="10500" max="10500" width="14" style="58" customWidth="1"/>
    <col min="10501" max="10501" width="14.109375" style="58" customWidth="1"/>
    <col min="10502" max="10502" width="13" style="58" customWidth="1"/>
    <col min="10503" max="10503" width="14" style="58" customWidth="1"/>
    <col min="10504" max="10504" width="15" style="58" customWidth="1"/>
    <col min="10505" max="10505" width="15.21875" style="58" customWidth="1"/>
    <col min="10506" max="10506" width="1.88671875" style="58" customWidth="1"/>
    <col min="10507" max="10507" width="10.5546875" style="58" customWidth="1"/>
    <col min="10508" max="10512" width="8" style="58" customWidth="1"/>
    <col min="10513" max="10752" width="9.109375" style="58" hidden="1"/>
    <col min="10753" max="10753" width="6.88671875" style="58" customWidth="1"/>
    <col min="10754" max="10754" width="23.33203125" style="58" customWidth="1"/>
    <col min="10755" max="10755" width="42.88671875" style="58" customWidth="1"/>
    <col min="10756" max="10756" width="14" style="58" customWidth="1"/>
    <col min="10757" max="10757" width="14.109375" style="58" customWidth="1"/>
    <col min="10758" max="10758" width="13" style="58" customWidth="1"/>
    <col min="10759" max="10759" width="14" style="58" customWidth="1"/>
    <col min="10760" max="10760" width="15" style="58" customWidth="1"/>
    <col min="10761" max="10761" width="15.21875" style="58" customWidth="1"/>
    <col min="10762" max="10762" width="1.88671875" style="58" customWidth="1"/>
    <col min="10763" max="10763" width="10.5546875" style="58" customWidth="1"/>
    <col min="10764" max="10768" width="8" style="58" customWidth="1"/>
    <col min="10769" max="11008" width="9.109375" style="58" hidden="1"/>
    <col min="11009" max="11009" width="6.88671875" style="58" customWidth="1"/>
    <col min="11010" max="11010" width="23.33203125" style="58" customWidth="1"/>
    <col min="11011" max="11011" width="42.88671875" style="58" customWidth="1"/>
    <col min="11012" max="11012" width="14" style="58" customWidth="1"/>
    <col min="11013" max="11013" width="14.109375" style="58" customWidth="1"/>
    <col min="11014" max="11014" width="13" style="58" customWidth="1"/>
    <col min="11015" max="11015" width="14" style="58" customWidth="1"/>
    <col min="11016" max="11016" width="15" style="58" customWidth="1"/>
    <col min="11017" max="11017" width="15.21875" style="58" customWidth="1"/>
    <col min="11018" max="11018" width="1.88671875" style="58" customWidth="1"/>
    <col min="11019" max="11019" width="10.5546875" style="58" customWidth="1"/>
    <col min="11020" max="11024" width="8" style="58" customWidth="1"/>
    <col min="11025" max="11264" width="9.109375" style="58" hidden="1"/>
    <col min="11265" max="11265" width="6.88671875" style="58" customWidth="1"/>
    <col min="11266" max="11266" width="23.33203125" style="58" customWidth="1"/>
    <col min="11267" max="11267" width="42.88671875" style="58" customWidth="1"/>
    <col min="11268" max="11268" width="14" style="58" customWidth="1"/>
    <col min="11269" max="11269" width="14.109375" style="58" customWidth="1"/>
    <col min="11270" max="11270" width="13" style="58" customWidth="1"/>
    <col min="11271" max="11271" width="14" style="58" customWidth="1"/>
    <col min="11272" max="11272" width="15" style="58" customWidth="1"/>
    <col min="11273" max="11273" width="15.21875" style="58" customWidth="1"/>
    <col min="11274" max="11274" width="1.88671875" style="58" customWidth="1"/>
    <col min="11275" max="11275" width="10.5546875" style="58" customWidth="1"/>
    <col min="11276" max="11280" width="8" style="58" customWidth="1"/>
    <col min="11281" max="11520" width="9.109375" style="58" hidden="1"/>
    <col min="11521" max="11521" width="6.88671875" style="58" customWidth="1"/>
    <col min="11522" max="11522" width="23.33203125" style="58" customWidth="1"/>
    <col min="11523" max="11523" width="42.88671875" style="58" customWidth="1"/>
    <col min="11524" max="11524" width="14" style="58" customWidth="1"/>
    <col min="11525" max="11525" width="14.109375" style="58" customWidth="1"/>
    <col min="11526" max="11526" width="13" style="58" customWidth="1"/>
    <col min="11527" max="11527" width="14" style="58" customWidth="1"/>
    <col min="11528" max="11528" width="15" style="58" customWidth="1"/>
    <col min="11529" max="11529" width="15.21875" style="58" customWidth="1"/>
    <col min="11530" max="11530" width="1.88671875" style="58" customWidth="1"/>
    <col min="11531" max="11531" width="10.5546875" style="58" customWidth="1"/>
    <col min="11532" max="11536" width="8" style="58" customWidth="1"/>
    <col min="11537" max="11776" width="9.109375" style="58" hidden="1"/>
    <col min="11777" max="11777" width="6.88671875" style="58" customWidth="1"/>
    <col min="11778" max="11778" width="23.33203125" style="58" customWidth="1"/>
    <col min="11779" max="11779" width="42.88671875" style="58" customWidth="1"/>
    <col min="11780" max="11780" width="14" style="58" customWidth="1"/>
    <col min="11781" max="11781" width="14.109375" style="58" customWidth="1"/>
    <col min="11782" max="11782" width="13" style="58" customWidth="1"/>
    <col min="11783" max="11783" width="14" style="58" customWidth="1"/>
    <col min="11784" max="11784" width="15" style="58" customWidth="1"/>
    <col min="11785" max="11785" width="15.21875" style="58" customWidth="1"/>
    <col min="11786" max="11786" width="1.88671875" style="58" customWidth="1"/>
    <col min="11787" max="11787" width="10.5546875" style="58" customWidth="1"/>
    <col min="11788" max="11792" width="8" style="58" customWidth="1"/>
    <col min="11793" max="12032" width="9.109375" style="58" hidden="1"/>
    <col min="12033" max="12033" width="6.88671875" style="58" customWidth="1"/>
    <col min="12034" max="12034" width="23.33203125" style="58" customWidth="1"/>
    <col min="12035" max="12035" width="42.88671875" style="58" customWidth="1"/>
    <col min="12036" max="12036" width="14" style="58" customWidth="1"/>
    <col min="12037" max="12037" width="14.109375" style="58" customWidth="1"/>
    <col min="12038" max="12038" width="13" style="58" customWidth="1"/>
    <col min="12039" max="12039" width="14" style="58" customWidth="1"/>
    <col min="12040" max="12040" width="15" style="58" customWidth="1"/>
    <col min="12041" max="12041" width="15.21875" style="58" customWidth="1"/>
    <col min="12042" max="12042" width="1.88671875" style="58" customWidth="1"/>
    <col min="12043" max="12043" width="10.5546875" style="58" customWidth="1"/>
    <col min="12044" max="12048" width="8" style="58" customWidth="1"/>
    <col min="12049" max="12288" width="9.109375" style="58" hidden="1"/>
    <col min="12289" max="12289" width="6.88671875" style="58" customWidth="1"/>
    <col min="12290" max="12290" width="23.33203125" style="58" customWidth="1"/>
    <col min="12291" max="12291" width="42.88671875" style="58" customWidth="1"/>
    <col min="12292" max="12292" width="14" style="58" customWidth="1"/>
    <col min="12293" max="12293" width="14.109375" style="58" customWidth="1"/>
    <col min="12294" max="12294" width="13" style="58" customWidth="1"/>
    <col min="12295" max="12295" width="14" style="58" customWidth="1"/>
    <col min="12296" max="12296" width="15" style="58" customWidth="1"/>
    <col min="12297" max="12297" width="15.21875" style="58" customWidth="1"/>
    <col min="12298" max="12298" width="1.88671875" style="58" customWidth="1"/>
    <col min="12299" max="12299" width="10.5546875" style="58" customWidth="1"/>
    <col min="12300" max="12304" width="8" style="58" customWidth="1"/>
    <col min="12305" max="12544" width="9.109375" style="58" hidden="1"/>
    <col min="12545" max="12545" width="6.88671875" style="58" customWidth="1"/>
    <col min="12546" max="12546" width="23.33203125" style="58" customWidth="1"/>
    <col min="12547" max="12547" width="42.88671875" style="58" customWidth="1"/>
    <col min="12548" max="12548" width="14" style="58" customWidth="1"/>
    <col min="12549" max="12549" width="14.109375" style="58" customWidth="1"/>
    <col min="12550" max="12550" width="13" style="58" customWidth="1"/>
    <col min="12551" max="12551" width="14" style="58" customWidth="1"/>
    <col min="12552" max="12552" width="15" style="58" customWidth="1"/>
    <col min="12553" max="12553" width="15.21875" style="58" customWidth="1"/>
    <col min="12554" max="12554" width="1.88671875" style="58" customWidth="1"/>
    <col min="12555" max="12555" width="10.5546875" style="58" customWidth="1"/>
    <col min="12556" max="12560" width="8" style="58" customWidth="1"/>
    <col min="12561" max="12800" width="9.109375" style="58" hidden="1"/>
    <col min="12801" max="12801" width="6.88671875" style="58" customWidth="1"/>
    <col min="12802" max="12802" width="23.33203125" style="58" customWidth="1"/>
    <col min="12803" max="12803" width="42.88671875" style="58" customWidth="1"/>
    <col min="12804" max="12804" width="14" style="58" customWidth="1"/>
    <col min="12805" max="12805" width="14.109375" style="58" customWidth="1"/>
    <col min="12806" max="12806" width="13" style="58" customWidth="1"/>
    <col min="12807" max="12807" width="14" style="58" customWidth="1"/>
    <col min="12808" max="12808" width="15" style="58" customWidth="1"/>
    <col min="12809" max="12809" width="15.21875" style="58" customWidth="1"/>
    <col min="12810" max="12810" width="1.88671875" style="58" customWidth="1"/>
    <col min="12811" max="12811" width="10.5546875" style="58" customWidth="1"/>
    <col min="12812" max="12816" width="8" style="58" customWidth="1"/>
    <col min="12817" max="13056" width="9.109375" style="58" hidden="1"/>
    <col min="13057" max="13057" width="6.88671875" style="58" customWidth="1"/>
    <col min="13058" max="13058" width="23.33203125" style="58" customWidth="1"/>
    <col min="13059" max="13059" width="42.88671875" style="58" customWidth="1"/>
    <col min="13060" max="13060" width="14" style="58" customWidth="1"/>
    <col min="13061" max="13061" width="14.109375" style="58" customWidth="1"/>
    <col min="13062" max="13062" width="13" style="58" customWidth="1"/>
    <col min="13063" max="13063" width="14" style="58" customWidth="1"/>
    <col min="13064" max="13064" width="15" style="58" customWidth="1"/>
    <col min="13065" max="13065" width="15.21875" style="58" customWidth="1"/>
    <col min="13066" max="13066" width="1.88671875" style="58" customWidth="1"/>
    <col min="13067" max="13067" width="10.5546875" style="58" customWidth="1"/>
    <col min="13068" max="13072" width="8" style="58" customWidth="1"/>
    <col min="13073" max="13312" width="9.109375" style="58" hidden="1"/>
    <col min="13313" max="13313" width="6.88671875" style="58" customWidth="1"/>
    <col min="13314" max="13314" width="23.33203125" style="58" customWidth="1"/>
    <col min="13315" max="13315" width="42.88671875" style="58" customWidth="1"/>
    <col min="13316" max="13316" width="14" style="58" customWidth="1"/>
    <col min="13317" max="13317" width="14.109375" style="58" customWidth="1"/>
    <col min="13318" max="13318" width="13" style="58" customWidth="1"/>
    <col min="13319" max="13319" width="14" style="58" customWidth="1"/>
    <col min="13320" max="13320" width="15" style="58" customWidth="1"/>
    <col min="13321" max="13321" width="15.21875" style="58" customWidth="1"/>
    <col min="13322" max="13322" width="1.88671875" style="58" customWidth="1"/>
    <col min="13323" max="13323" width="10.5546875" style="58" customWidth="1"/>
    <col min="13324" max="13328" width="8" style="58" customWidth="1"/>
    <col min="13329" max="13568" width="9.109375" style="58" hidden="1"/>
    <col min="13569" max="13569" width="6.88671875" style="58" customWidth="1"/>
    <col min="13570" max="13570" width="23.33203125" style="58" customWidth="1"/>
    <col min="13571" max="13571" width="42.88671875" style="58" customWidth="1"/>
    <col min="13572" max="13572" width="14" style="58" customWidth="1"/>
    <col min="13573" max="13573" width="14.109375" style="58" customWidth="1"/>
    <col min="13574" max="13574" width="13" style="58" customWidth="1"/>
    <col min="13575" max="13575" width="14" style="58" customWidth="1"/>
    <col min="13576" max="13576" width="15" style="58" customWidth="1"/>
    <col min="13577" max="13577" width="15.21875" style="58" customWidth="1"/>
    <col min="13578" max="13578" width="1.88671875" style="58" customWidth="1"/>
    <col min="13579" max="13579" width="10.5546875" style="58" customWidth="1"/>
    <col min="13580" max="13584" width="8" style="58" customWidth="1"/>
    <col min="13585" max="13824" width="9.109375" style="58" hidden="1"/>
    <col min="13825" max="13825" width="6.88671875" style="58" customWidth="1"/>
    <col min="13826" max="13826" width="23.33203125" style="58" customWidth="1"/>
    <col min="13827" max="13827" width="42.88671875" style="58" customWidth="1"/>
    <col min="13828" max="13828" width="14" style="58" customWidth="1"/>
    <col min="13829" max="13829" width="14.109375" style="58" customWidth="1"/>
    <col min="13830" max="13830" width="13" style="58" customWidth="1"/>
    <col min="13831" max="13831" width="14" style="58" customWidth="1"/>
    <col min="13832" max="13832" width="15" style="58" customWidth="1"/>
    <col min="13833" max="13833" width="15.21875" style="58" customWidth="1"/>
    <col min="13834" max="13834" width="1.88671875" style="58" customWidth="1"/>
    <col min="13835" max="13835" width="10.5546875" style="58" customWidth="1"/>
    <col min="13836" max="13840" width="8" style="58" customWidth="1"/>
    <col min="13841" max="14080" width="9.109375" style="58" hidden="1"/>
    <col min="14081" max="14081" width="6.88671875" style="58" customWidth="1"/>
    <col min="14082" max="14082" width="23.33203125" style="58" customWidth="1"/>
    <col min="14083" max="14083" width="42.88671875" style="58" customWidth="1"/>
    <col min="14084" max="14084" width="14" style="58" customWidth="1"/>
    <col min="14085" max="14085" width="14.109375" style="58" customWidth="1"/>
    <col min="14086" max="14086" width="13" style="58" customWidth="1"/>
    <col min="14087" max="14087" width="14" style="58" customWidth="1"/>
    <col min="14088" max="14088" width="15" style="58" customWidth="1"/>
    <col min="14089" max="14089" width="15.21875" style="58" customWidth="1"/>
    <col min="14090" max="14090" width="1.88671875" style="58" customWidth="1"/>
    <col min="14091" max="14091" width="10.5546875" style="58" customWidth="1"/>
    <col min="14092" max="14096" width="8" style="58" customWidth="1"/>
    <col min="14097" max="14336" width="9.109375" style="58" hidden="1"/>
    <col min="14337" max="14337" width="6.88671875" style="58" customWidth="1"/>
    <col min="14338" max="14338" width="23.33203125" style="58" customWidth="1"/>
    <col min="14339" max="14339" width="42.88671875" style="58" customWidth="1"/>
    <col min="14340" max="14340" width="14" style="58" customWidth="1"/>
    <col min="14341" max="14341" width="14.109375" style="58" customWidth="1"/>
    <col min="14342" max="14342" width="13" style="58" customWidth="1"/>
    <col min="14343" max="14343" width="14" style="58" customWidth="1"/>
    <col min="14344" max="14344" width="15" style="58" customWidth="1"/>
    <col min="14345" max="14345" width="15.21875" style="58" customWidth="1"/>
    <col min="14346" max="14346" width="1.88671875" style="58" customWidth="1"/>
    <col min="14347" max="14347" width="10.5546875" style="58" customWidth="1"/>
    <col min="14348" max="14352" width="8" style="58" customWidth="1"/>
    <col min="14353" max="14592" width="9.109375" style="58" hidden="1"/>
    <col min="14593" max="14593" width="6.88671875" style="58" customWidth="1"/>
    <col min="14594" max="14594" width="23.33203125" style="58" customWidth="1"/>
    <col min="14595" max="14595" width="42.88671875" style="58" customWidth="1"/>
    <col min="14596" max="14596" width="14" style="58" customWidth="1"/>
    <col min="14597" max="14597" width="14.109375" style="58" customWidth="1"/>
    <col min="14598" max="14598" width="13" style="58" customWidth="1"/>
    <col min="14599" max="14599" width="14" style="58" customWidth="1"/>
    <col min="14600" max="14600" width="15" style="58" customWidth="1"/>
    <col min="14601" max="14601" width="15.21875" style="58" customWidth="1"/>
    <col min="14602" max="14602" width="1.88671875" style="58" customWidth="1"/>
    <col min="14603" max="14603" width="10.5546875" style="58" customWidth="1"/>
    <col min="14604" max="14608" width="8" style="58" customWidth="1"/>
    <col min="14609" max="14848" width="9.109375" style="58" hidden="1"/>
    <col min="14849" max="14849" width="6.88671875" style="58" customWidth="1"/>
    <col min="14850" max="14850" width="23.33203125" style="58" customWidth="1"/>
    <col min="14851" max="14851" width="42.88671875" style="58" customWidth="1"/>
    <col min="14852" max="14852" width="14" style="58" customWidth="1"/>
    <col min="14853" max="14853" width="14.109375" style="58" customWidth="1"/>
    <col min="14854" max="14854" width="13" style="58" customWidth="1"/>
    <col min="14855" max="14855" width="14" style="58" customWidth="1"/>
    <col min="14856" max="14856" width="15" style="58" customWidth="1"/>
    <col min="14857" max="14857" width="15.21875" style="58" customWidth="1"/>
    <col min="14858" max="14858" width="1.88671875" style="58" customWidth="1"/>
    <col min="14859" max="14859" width="10.5546875" style="58" customWidth="1"/>
    <col min="14860" max="14864" width="8" style="58" customWidth="1"/>
    <col min="14865" max="15104" width="9.109375" style="58" hidden="1"/>
    <col min="15105" max="15105" width="6.88671875" style="58" customWidth="1"/>
    <col min="15106" max="15106" width="23.33203125" style="58" customWidth="1"/>
    <col min="15107" max="15107" width="42.88671875" style="58" customWidth="1"/>
    <col min="15108" max="15108" width="14" style="58" customWidth="1"/>
    <col min="15109" max="15109" width="14.109375" style="58" customWidth="1"/>
    <col min="15110" max="15110" width="13" style="58" customWidth="1"/>
    <col min="15111" max="15111" width="14" style="58" customWidth="1"/>
    <col min="15112" max="15112" width="15" style="58" customWidth="1"/>
    <col min="15113" max="15113" width="15.21875" style="58" customWidth="1"/>
    <col min="15114" max="15114" width="1.88671875" style="58" customWidth="1"/>
    <col min="15115" max="15115" width="10.5546875" style="58" customWidth="1"/>
    <col min="15116" max="15120" width="8" style="58" customWidth="1"/>
    <col min="15121" max="15360" width="9.109375" style="58" hidden="1"/>
    <col min="15361" max="15361" width="6.88671875" style="58" customWidth="1"/>
    <col min="15362" max="15362" width="23.33203125" style="58" customWidth="1"/>
    <col min="15363" max="15363" width="42.88671875" style="58" customWidth="1"/>
    <col min="15364" max="15364" width="14" style="58" customWidth="1"/>
    <col min="15365" max="15365" width="14.109375" style="58" customWidth="1"/>
    <col min="15366" max="15366" width="13" style="58" customWidth="1"/>
    <col min="15367" max="15367" width="14" style="58" customWidth="1"/>
    <col min="15368" max="15368" width="15" style="58" customWidth="1"/>
    <col min="15369" max="15369" width="15.21875" style="58" customWidth="1"/>
    <col min="15370" max="15370" width="1.88671875" style="58" customWidth="1"/>
    <col min="15371" max="15371" width="10.5546875" style="58" customWidth="1"/>
    <col min="15372" max="15376" width="8" style="58" customWidth="1"/>
    <col min="15377" max="15616" width="9.109375" style="58" hidden="1"/>
    <col min="15617" max="15617" width="6.88671875" style="58" customWidth="1"/>
    <col min="15618" max="15618" width="23.33203125" style="58" customWidth="1"/>
    <col min="15619" max="15619" width="42.88671875" style="58" customWidth="1"/>
    <col min="15620" max="15620" width="14" style="58" customWidth="1"/>
    <col min="15621" max="15621" width="14.109375" style="58" customWidth="1"/>
    <col min="15622" max="15622" width="13" style="58" customWidth="1"/>
    <col min="15623" max="15623" width="14" style="58" customWidth="1"/>
    <col min="15624" max="15624" width="15" style="58" customWidth="1"/>
    <col min="15625" max="15625" width="15.21875" style="58" customWidth="1"/>
    <col min="15626" max="15626" width="1.88671875" style="58" customWidth="1"/>
    <col min="15627" max="15627" width="10.5546875" style="58" customWidth="1"/>
    <col min="15628" max="15632" width="8" style="58" customWidth="1"/>
    <col min="15633" max="15872" width="9.109375" style="58" hidden="1"/>
    <col min="15873" max="15873" width="6.88671875" style="58" customWidth="1"/>
    <col min="15874" max="15874" width="23.33203125" style="58" customWidth="1"/>
    <col min="15875" max="15875" width="42.88671875" style="58" customWidth="1"/>
    <col min="15876" max="15876" width="14" style="58" customWidth="1"/>
    <col min="15877" max="15877" width="14.109375" style="58" customWidth="1"/>
    <col min="15878" max="15878" width="13" style="58" customWidth="1"/>
    <col min="15879" max="15879" width="14" style="58" customWidth="1"/>
    <col min="15880" max="15880" width="15" style="58" customWidth="1"/>
    <col min="15881" max="15881" width="15.21875" style="58" customWidth="1"/>
    <col min="15882" max="15882" width="1.88671875" style="58" customWidth="1"/>
    <col min="15883" max="15883" width="10.5546875" style="58" customWidth="1"/>
    <col min="15884" max="15888" width="8" style="58" customWidth="1"/>
    <col min="15889" max="16128" width="9.109375" style="58" hidden="1"/>
    <col min="16129" max="16129" width="6.88671875" style="58" customWidth="1"/>
    <col min="16130" max="16130" width="23.33203125" style="58" customWidth="1"/>
    <col min="16131" max="16131" width="42.88671875" style="58" customWidth="1"/>
    <col min="16132" max="16132" width="14" style="58" customWidth="1"/>
    <col min="16133" max="16133" width="14.109375" style="58" customWidth="1"/>
    <col min="16134" max="16134" width="13" style="58" customWidth="1"/>
    <col min="16135" max="16135" width="14" style="58" customWidth="1"/>
    <col min="16136" max="16136" width="15" style="58" customWidth="1"/>
    <col min="16137" max="16137" width="15.21875" style="58" customWidth="1"/>
    <col min="16138" max="16138" width="1.88671875" style="58" customWidth="1"/>
    <col min="16139" max="16139" width="10.5546875" style="58" customWidth="1"/>
    <col min="16140" max="16144" width="8" style="58" customWidth="1"/>
    <col min="16145" max="16145" width="0" style="58" hidden="1"/>
    <col min="16146" max="16384" width="9.109375" style="58" hidden="1"/>
  </cols>
  <sheetData>
    <row r="1" spans="1:1294" s="158" customFormat="1" ht="21.6" customHeight="1">
      <c r="A1" s="778" t="s">
        <v>63</v>
      </c>
      <c r="B1" s="778"/>
      <c r="C1" s="778"/>
      <c r="D1" s="778"/>
      <c r="E1" s="778"/>
      <c r="F1" s="778"/>
      <c r="G1" s="778"/>
      <c r="H1" s="778"/>
    </row>
    <row r="2" spans="1:1294" s="158" customFormat="1" ht="21.6" customHeight="1">
      <c r="A2" s="779" t="s">
        <v>115</v>
      </c>
      <c r="B2" s="779"/>
      <c r="C2" s="779"/>
      <c r="D2" s="779"/>
      <c r="E2" s="779"/>
      <c r="F2" s="779"/>
      <c r="G2" s="779"/>
      <c r="H2" s="779"/>
    </row>
    <row r="3" spans="1:1294" s="158" customFormat="1" ht="20.399999999999999" customHeight="1">
      <c r="A3" s="158" t="s">
        <v>8</v>
      </c>
      <c r="E3" s="160"/>
      <c r="F3" s="160"/>
      <c r="G3" s="192">
        <v>0</v>
      </c>
      <c r="H3" s="160"/>
    </row>
    <row r="4" spans="1:1294" s="45" customFormat="1" ht="36.6" customHeight="1">
      <c r="A4" s="46" t="s">
        <v>0</v>
      </c>
      <c r="B4" s="46" t="s">
        <v>2</v>
      </c>
      <c r="C4" s="46" t="s">
        <v>6</v>
      </c>
      <c r="D4" s="46" t="s">
        <v>9</v>
      </c>
      <c r="E4" s="48" t="s">
        <v>26</v>
      </c>
      <c r="F4" s="47" t="s">
        <v>3</v>
      </c>
      <c r="G4" s="48" t="s">
        <v>10</v>
      </c>
      <c r="H4" s="49" t="s">
        <v>4</v>
      </c>
    </row>
    <row r="5" spans="1:1294" s="45" customFormat="1" ht="19.05" customHeight="1">
      <c r="A5" s="50">
        <v>1</v>
      </c>
      <c r="B5" s="780" t="s">
        <v>19</v>
      </c>
      <c r="C5" s="72" t="s">
        <v>70</v>
      </c>
      <c r="D5" s="789" t="s">
        <v>65</v>
      </c>
      <c r="E5" s="79">
        <f>COUNTIFS(Table13514520105[[#All],[Sales]],"คุณนิมิต จุ้ยอยู่ทอง",Table13514520105[[#All],[รายการเบิก
คอมขาย]],"&gt;0")</f>
        <v>1</v>
      </c>
      <c r="F5" s="59">
        <f>SUMIF(Table13514520105[[#All],[Sales]],"คุณนิมิต จุ้ยอยู่ทอง",Table13514520105[[#All],[รายการเบิก
คอมขาย]])</f>
        <v>4542.0600000000004</v>
      </c>
      <c r="G5" s="75">
        <f t="shared" ref="G5:G16" si="0">F5*$G$3</f>
        <v>0</v>
      </c>
      <c r="H5" s="75">
        <f t="shared" ref="H5:H23" si="1">SUM(F5-G5)</f>
        <v>4542.0600000000004</v>
      </c>
      <c r="I5" s="138"/>
      <c r="J5" s="76"/>
    </row>
    <row r="6" spans="1:1294" s="45" customFormat="1" ht="19.05" customHeight="1">
      <c r="A6" s="50"/>
      <c r="B6" s="781"/>
      <c r="C6" s="72" t="s">
        <v>71</v>
      </c>
      <c r="D6" s="790"/>
      <c r="E6" s="79">
        <f>COUNTIFS(Table13514520105[[#All],[Sales]],"คุณธวัช มีแสง",Table13514520105[[#All],[รายการเบิก
คอมขาย]],"&gt;0")</f>
        <v>0</v>
      </c>
      <c r="F6" s="59">
        <f>SUMIF(Table13514520105[[#All],[Sales]],"คุณธวัช มีแสง",Table13514520105[[#All],[รายการเบิก
คอมขาย]])</f>
        <v>0</v>
      </c>
      <c r="G6" s="75">
        <f t="shared" si="0"/>
        <v>0</v>
      </c>
      <c r="H6" s="75">
        <f t="shared" si="1"/>
        <v>0</v>
      </c>
      <c r="I6" s="51"/>
      <c r="J6" s="77"/>
    </row>
    <row r="7" spans="1:1294" s="45" customFormat="1" ht="19.05" customHeight="1">
      <c r="A7" s="50"/>
      <c r="B7" s="781"/>
      <c r="C7" s="72" t="s">
        <v>72</v>
      </c>
      <c r="D7" s="790"/>
      <c r="E7" s="79">
        <f>COUNTIFS(Table13514520105[[#All],[Sales]],"คุณแดง มูลสองแคว",Table13514520105[[#All],[รายการเบิก
คอมขาย]],"&gt;0")</f>
        <v>1</v>
      </c>
      <c r="F7" s="59">
        <f>SUMIF(Table13514520105[[#All],[Sales]],"คุณแดง มูลสองแคว",Table13514520105[[#All],[รายการเบิก
คอมขาย]])</f>
        <v>4000</v>
      </c>
      <c r="G7" s="75">
        <f t="shared" si="0"/>
        <v>0</v>
      </c>
      <c r="H7" s="75">
        <f t="shared" si="1"/>
        <v>4000</v>
      </c>
      <c r="I7" s="51"/>
      <c r="J7" s="77"/>
    </row>
    <row r="8" spans="1:1294" s="45" customFormat="1" ht="19.05" customHeight="1">
      <c r="A8" s="50"/>
      <c r="B8" s="781"/>
      <c r="C8" s="135" t="s">
        <v>73</v>
      </c>
      <c r="D8" s="790"/>
      <c r="E8" s="79">
        <f>COUNTIFS(Table13514520105[[#All],[Sales]],"คุณนิยนต์ อยู่ทะเล",Table13514520105[[#All],[รายการเบิก
คอมขาย]],"&gt;0")</f>
        <v>0</v>
      </c>
      <c r="F8" s="59">
        <f>SUMIF(Table13514520105[[#All],[Sales]],"คุณนิยนต์ อยู่ทะเล",Table13514520105[[#All],[รายการเบิก
คอมขาย]])</f>
        <v>0</v>
      </c>
      <c r="G8" s="75">
        <f t="shared" ref="G8:G13" si="2">F8*$G$3</f>
        <v>0</v>
      </c>
      <c r="H8" s="75">
        <f t="shared" si="1"/>
        <v>0</v>
      </c>
      <c r="I8" s="51"/>
      <c r="J8" s="77"/>
    </row>
    <row r="9" spans="1:1294" s="45" customFormat="1" ht="19.05" customHeight="1">
      <c r="A9" s="50"/>
      <c r="B9" s="781"/>
      <c r="C9" s="141" t="s">
        <v>67</v>
      </c>
      <c r="D9" s="790"/>
      <c r="E9" s="79">
        <f>COUNTIFS(Table13514520105[[#All],[Sales]],"คุณรุ่งอรุณ อินบุญรอด",Table13514520105[[#All],[รายการเบิก
คอมขาย]],"&gt;0")</f>
        <v>1</v>
      </c>
      <c r="F9" s="59">
        <f>SUMIF(Table13514520105[[#All],[Sales]],"คุณรุ่งอรุณ อินบุญรอด",Table13514520105[[#All],[รายการเบิก
คอมขาย]])</f>
        <v>3500</v>
      </c>
      <c r="G9" s="75">
        <f t="shared" si="2"/>
        <v>0</v>
      </c>
      <c r="H9" s="75">
        <f t="shared" si="1"/>
        <v>3500</v>
      </c>
      <c r="I9" s="51"/>
      <c r="J9" s="77"/>
    </row>
    <row r="10" spans="1:1294" s="45" customFormat="1" ht="19.05" customHeight="1">
      <c r="A10" s="50"/>
      <c r="B10" s="781"/>
      <c r="C10" s="141" t="s">
        <v>68</v>
      </c>
      <c r="D10" s="790"/>
      <c r="E10" s="79">
        <f>COUNTIFS(Table13514520105[[#All],[Sales]],"คุณศศินาถ จุ้ยอยู่ทอง",Table13514520105[[#All],[รายการเบิก
คอมขาย]],"&gt;0")</f>
        <v>1</v>
      </c>
      <c r="F10" s="59">
        <f>SUMIF(Table13514520105[[#All],[Sales]],"คุณศศินาถ จุ้ยอยู่ทอง",Table13514520105[[#All],[รายการเบิก
คอมขาย]])</f>
        <v>6500</v>
      </c>
      <c r="G10" s="75">
        <f t="shared" si="2"/>
        <v>0</v>
      </c>
      <c r="H10" s="75">
        <f t="shared" si="1"/>
        <v>6500</v>
      </c>
      <c r="I10" s="51"/>
      <c r="J10" s="77"/>
    </row>
    <row r="11" spans="1:1294" s="45" customFormat="1" ht="19.05" customHeight="1">
      <c r="A11" s="50"/>
      <c r="B11" s="781"/>
      <c r="C11" s="190" t="s">
        <v>90</v>
      </c>
      <c r="D11" s="790"/>
      <c r="E11" s="79">
        <f>COUNTIFS(Table13514520105[[#All],[Sales]],"คุณณรงศ์ศักย์ เหล่ารัตนเวช",Table13514520105[[#All],[รายการเบิก
คอมขาย]],"&gt;0")</f>
        <v>0</v>
      </c>
      <c r="F11" s="59">
        <f>SUMIF(Table13514520105[[#All],[Sales]],"คุณณรงศ์ศักย์ เหล่ารัตนเวช",Table13514520105[[#All],[รายการเบิก
คอมขาย]])</f>
        <v>0</v>
      </c>
      <c r="G11" s="75">
        <f t="shared" si="2"/>
        <v>0</v>
      </c>
      <c r="H11" s="75">
        <f t="shared" si="1"/>
        <v>0</v>
      </c>
      <c r="I11" s="51"/>
      <c r="J11" s="77"/>
    </row>
    <row r="12" spans="1:1294" s="45" customFormat="1" ht="19.05" customHeight="1">
      <c r="A12" s="50"/>
      <c r="B12" s="781"/>
      <c r="C12" s="190" t="s">
        <v>130</v>
      </c>
      <c r="D12" s="790"/>
      <c r="E12" s="79">
        <f>COUNTIFS(Table13514520105[[#All],[Sales]],"คุณชนัฐฎา สนคะมี",Table13514520105[[#All],[รายการเบิก
คอมขาย]],"&gt;0")</f>
        <v>0</v>
      </c>
      <c r="F12" s="59">
        <f>SUMIF(Table13514520105[[#All],[Sales]],"คุณชนัฐฎา สนคะมี",Table13514520105[[#All],[รายการเบิก
คอมขาย]])</f>
        <v>0</v>
      </c>
      <c r="G12" s="75">
        <f t="shared" si="2"/>
        <v>0</v>
      </c>
      <c r="H12" s="75">
        <f t="shared" si="1"/>
        <v>0</v>
      </c>
      <c r="I12" s="51"/>
      <c r="J12" s="77"/>
    </row>
    <row r="13" spans="1:1294" s="45" customFormat="1" ht="19.05" customHeight="1">
      <c r="A13" s="50"/>
      <c r="B13" s="782"/>
      <c r="C13" s="72" t="s">
        <v>69</v>
      </c>
      <c r="D13" s="791"/>
      <c r="E13" s="79">
        <f>COUNTIFS(Table13514520105[[#All],[Sales]],"คุณธัญลักษณ์ หมื่นหลุบกุง",Table13514520105[[#All],[รายการเบิก
คอมขาย]],"&gt;0")</f>
        <v>0</v>
      </c>
      <c r="F13" s="59">
        <f>SUMIF(Table13514520105[[#All],[Sales]],"คุณธัญลักษณ์ หมื่นหลุบกุง",Table13514520105[[#All],[รายการเบิก
คอมขาย]])</f>
        <v>0</v>
      </c>
      <c r="G13" s="75">
        <f t="shared" si="2"/>
        <v>0</v>
      </c>
      <c r="H13" s="75">
        <f t="shared" si="1"/>
        <v>0</v>
      </c>
      <c r="I13" s="51"/>
      <c r="J13" s="77"/>
    </row>
    <row r="14" spans="1:1294" s="52" customFormat="1" ht="19.05" customHeight="1">
      <c r="A14" s="69">
        <v>2</v>
      </c>
      <c r="B14" s="783" t="s">
        <v>11</v>
      </c>
      <c r="C14" s="72" t="s">
        <v>70</v>
      </c>
      <c r="D14" s="792" t="s">
        <v>28</v>
      </c>
      <c r="E14" s="80">
        <f>COUNTIFS(Table13514520105[[#All],[Sales]],"คุณนิมิต จุ้ยอยู่ทอง",Table13514520105[[#All],[ค่าขายอุปกรณ์]],"&gt;1")</f>
        <v>0</v>
      </c>
      <c r="F14" s="75">
        <f>SUMIF(Table13514520105[[#All],[Sales]],"คุณนิมิต จุ้ยอยู่ทอง",Table13514520105[[#All],[Total
คอมฯ อุปกรณ์]])</f>
        <v>0</v>
      </c>
      <c r="G14" s="75">
        <f t="shared" si="0"/>
        <v>0</v>
      </c>
      <c r="H14" s="75">
        <f t="shared" si="1"/>
        <v>0</v>
      </c>
      <c r="I14" s="51"/>
      <c r="J14" s="78"/>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c r="FB14" s="45"/>
      <c r="FC14" s="45"/>
      <c r="FD14" s="45"/>
      <c r="FE14" s="45"/>
      <c r="FF14" s="45"/>
      <c r="FG14" s="45"/>
      <c r="FH14" s="45"/>
      <c r="FI14" s="45"/>
      <c r="FJ14" s="45"/>
      <c r="FK14" s="45"/>
      <c r="FL14" s="45"/>
      <c r="FM14" s="45"/>
      <c r="FN14" s="45"/>
      <c r="FO14" s="45"/>
      <c r="FP14" s="45"/>
      <c r="FQ14" s="45"/>
      <c r="FR14" s="45"/>
      <c r="FS14" s="45"/>
      <c r="FT14" s="45"/>
      <c r="FU14" s="45"/>
      <c r="FV14" s="45"/>
      <c r="FW14" s="45"/>
      <c r="FX14" s="45"/>
      <c r="FY14" s="45"/>
      <c r="FZ14" s="45"/>
      <c r="GA14" s="45"/>
      <c r="GB14" s="45"/>
      <c r="GC14" s="45"/>
      <c r="GD14" s="45"/>
      <c r="GE14" s="45"/>
      <c r="GF14" s="45"/>
      <c r="GG14" s="45"/>
      <c r="GH14" s="45"/>
      <c r="GI14" s="45"/>
      <c r="GJ14" s="45"/>
      <c r="GK14" s="45"/>
      <c r="GL14" s="45"/>
      <c r="GM14" s="45"/>
      <c r="GN14" s="45"/>
      <c r="GO14" s="45"/>
      <c r="GP14" s="45"/>
      <c r="GQ14" s="45"/>
      <c r="GR14" s="45"/>
      <c r="GS14" s="45"/>
      <c r="GT14" s="45"/>
      <c r="GU14" s="45"/>
      <c r="GV14" s="45"/>
      <c r="GW14" s="45"/>
      <c r="GX14" s="45"/>
      <c r="GY14" s="45"/>
      <c r="GZ14" s="45"/>
      <c r="HA14" s="45"/>
      <c r="HB14" s="45"/>
      <c r="HC14" s="45"/>
      <c r="HD14" s="45"/>
      <c r="HE14" s="45"/>
      <c r="HF14" s="45"/>
      <c r="HG14" s="45"/>
      <c r="HH14" s="45"/>
      <c r="HI14" s="45"/>
      <c r="HJ14" s="45"/>
      <c r="HK14" s="45"/>
      <c r="HL14" s="45"/>
      <c r="HM14" s="45"/>
      <c r="HN14" s="45"/>
      <c r="HO14" s="45"/>
      <c r="HP14" s="45"/>
      <c r="HQ14" s="45"/>
      <c r="HR14" s="45"/>
      <c r="HS14" s="45"/>
      <c r="HT14" s="45"/>
      <c r="HU14" s="45"/>
      <c r="HV14" s="45"/>
      <c r="HW14" s="45"/>
      <c r="HX14" s="45"/>
      <c r="HY14" s="45"/>
      <c r="HZ14" s="45"/>
      <c r="IA14" s="45"/>
      <c r="IB14" s="45"/>
      <c r="IC14" s="45"/>
      <c r="ID14" s="45"/>
      <c r="IE14" s="45"/>
      <c r="IF14" s="45"/>
      <c r="IG14" s="45"/>
      <c r="IH14" s="45"/>
      <c r="II14" s="45"/>
      <c r="IJ14" s="45"/>
      <c r="IK14" s="45"/>
      <c r="IL14" s="45"/>
      <c r="IM14" s="45"/>
      <c r="IN14" s="45"/>
      <c r="IO14" s="45"/>
      <c r="IP14" s="45"/>
      <c r="IQ14" s="45"/>
      <c r="IR14" s="45"/>
      <c r="IS14" s="45"/>
      <c r="IT14" s="45"/>
      <c r="IU14" s="45"/>
      <c r="IV14" s="45"/>
      <c r="IW14" s="45"/>
      <c r="IX14" s="45"/>
      <c r="IY14" s="45"/>
      <c r="IZ14" s="45"/>
      <c r="JA14" s="45"/>
      <c r="JB14" s="45"/>
      <c r="JC14" s="45"/>
      <c r="JD14" s="45"/>
      <c r="JE14" s="45"/>
      <c r="JF14" s="45"/>
      <c r="JG14" s="45"/>
      <c r="JH14" s="45"/>
      <c r="JI14" s="45"/>
      <c r="JJ14" s="45"/>
      <c r="JK14" s="45"/>
      <c r="JL14" s="45"/>
      <c r="JM14" s="45"/>
      <c r="JN14" s="45"/>
      <c r="JO14" s="45"/>
      <c r="JP14" s="45"/>
      <c r="JQ14" s="45"/>
      <c r="JR14" s="45"/>
      <c r="JS14" s="45"/>
      <c r="JT14" s="45"/>
      <c r="JU14" s="45"/>
      <c r="JV14" s="45"/>
      <c r="JW14" s="45"/>
      <c r="JX14" s="45"/>
      <c r="JY14" s="45"/>
      <c r="JZ14" s="45"/>
      <c r="KA14" s="45"/>
      <c r="KB14" s="45"/>
      <c r="KC14" s="45"/>
      <c r="KD14" s="45"/>
      <c r="KE14" s="45"/>
      <c r="KF14" s="45"/>
      <c r="KG14" s="45"/>
      <c r="KH14" s="45"/>
      <c r="KI14" s="45"/>
      <c r="KJ14" s="45"/>
      <c r="KK14" s="45"/>
      <c r="KL14" s="45"/>
      <c r="KM14" s="45"/>
      <c r="KN14" s="45"/>
      <c r="KO14" s="45"/>
      <c r="KP14" s="45"/>
      <c r="KQ14" s="45"/>
      <c r="KR14" s="45"/>
      <c r="KS14" s="45"/>
      <c r="KT14" s="45"/>
      <c r="KU14" s="45"/>
      <c r="KV14" s="45"/>
      <c r="KW14" s="45"/>
      <c r="KX14" s="45"/>
      <c r="KY14" s="45"/>
      <c r="KZ14" s="45"/>
      <c r="LA14" s="45"/>
      <c r="LB14" s="45"/>
      <c r="LC14" s="45"/>
      <c r="LD14" s="45"/>
      <c r="LE14" s="45"/>
      <c r="LF14" s="45"/>
      <c r="LG14" s="45"/>
      <c r="LH14" s="45"/>
      <c r="LI14" s="45"/>
      <c r="LJ14" s="45"/>
      <c r="LK14" s="45"/>
      <c r="LL14" s="45"/>
      <c r="LM14" s="45"/>
      <c r="LN14" s="45"/>
      <c r="LO14" s="45"/>
      <c r="LP14" s="45"/>
      <c r="LQ14" s="45"/>
      <c r="LR14" s="45"/>
      <c r="LS14" s="45"/>
      <c r="LT14" s="45"/>
      <c r="LU14" s="45"/>
      <c r="LV14" s="45"/>
      <c r="LW14" s="45"/>
      <c r="LX14" s="45"/>
      <c r="LY14" s="45"/>
      <c r="LZ14" s="45"/>
      <c r="MA14" s="45"/>
      <c r="MB14" s="45"/>
      <c r="MC14" s="45"/>
      <c r="MD14" s="45"/>
      <c r="ME14" s="45"/>
      <c r="MF14" s="45"/>
      <c r="MG14" s="45"/>
      <c r="MH14" s="45"/>
      <c r="MI14" s="45"/>
      <c r="MJ14" s="45"/>
      <c r="MK14" s="45"/>
      <c r="ML14" s="45"/>
      <c r="MM14" s="45"/>
      <c r="MN14" s="45"/>
      <c r="MO14" s="45"/>
      <c r="MP14" s="45"/>
      <c r="MQ14" s="45"/>
      <c r="MR14" s="45"/>
      <c r="MS14" s="45"/>
      <c r="MT14" s="45"/>
      <c r="MU14" s="45"/>
      <c r="MV14" s="45"/>
      <c r="MW14" s="45"/>
      <c r="MX14" s="45"/>
      <c r="MY14" s="45"/>
      <c r="MZ14" s="45"/>
      <c r="NA14" s="45"/>
      <c r="NB14" s="45"/>
      <c r="NC14" s="45"/>
      <c r="ND14" s="45"/>
      <c r="NE14" s="45"/>
      <c r="NF14" s="45"/>
      <c r="NG14" s="45"/>
      <c r="NH14" s="45"/>
      <c r="NI14" s="45"/>
      <c r="NJ14" s="45"/>
      <c r="NK14" s="45"/>
      <c r="NL14" s="45"/>
      <c r="NM14" s="45"/>
      <c r="NN14" s="45"/>
      <c r="NO14" s="45"/>
      <c r="NP14" s="45"/>
      <c r="NQ14" s="45"/>
      <c r="NR14" s="45"/>
      <c r="NS14" s="45"/>
      <c r="NT14" s="45"/>
      <c r="NU14" s="45"/>
      <c r="NV14" s="45"/>
      <c r="NW14" s="45"/>
      <c r="NX14" s="45"/>
      <c r="NY14" s="45"/>
      <c r="NZ14" s="45"/>
      <c r="OA14" s="45"/>
      <c r="OB14" s="45"/>
      <c r="OC14" s="45"/>
      <c r="OD14" s="45"/>
      <c r="OE14" s="45"/>
      <c r="OF14" s="45"/>
      <c r="OG14" s="45"/>
      <c r="OH14" s="45"/>
      <c r="OI14" s="45"/>
      <c r="OJ14" s="45"/>
      <c r="OK14" s="45"/>
      <c r="OL14" s="45"/>
      <c r="OM14" s="45"/>
      <c r="ON14" s="45"/>
      <c r="OO14" s="45"/>
      <c r="OP14" s="45"/>
      <c r="OQ14" s="45"/>
      <c r="OR14" s="45"/>
      <c r="OS14" s="45"/>
      <c r="OT14" s="45"/>
      <c r="OU14" s="45"/>
      <c r="OV14" s="45"/>
      <c r="OW14" s="45"/>
      <c r="OX14" s="45"/>
      <c r="OY14" s="45"/>
      <c r="OZ14" s="45"/>
      <c r="PA14" s="45"/>
      <c r="PB14" s="45"/>
      <c r="PC14" s="45"/>
      <c r="PD14" s="45"/>
      <c r="PE14" s="45"/>
      <c r="PF14" s="45"/>
      <c r="PG14" s="45"/>
      <c r="PH14" s="45"/>
      <c r="PI14" s="45"/>
      <c r="PJ14" s="45"/>
      <c r="PK14" s="45"/>
      <c r="PL14" s="45"/>
      <c r="PM14" s="45"/>
      <c r="PN14" s="45"/>
      <c r="PO14" s="45"/>
      <c r="PP14" s="45"/>
      <c r="PQ14" s="45"/>
      <c r="PR14" s="45"/>
      <c r="PS14" s="45"/>
      <c r="PT14" s="45"/>
      <c r="PU14" s="45"/>
      <c r="PV14" s="45"/>
      <c r="PW14" s="45"/>
      <c r="PX14" s="45"/>
      <c r="PY14" s="45"/>
      <c r="PZ14" s="45"/>
      <c r="QA14" s="45"/>
      <c r="QB14" s="45"/>
      <c r="QC14" s="45"/>
      <c r="QD14" s="45"/>
      <c r="QE14" s="45"/>
      <c r="QF14" s="45"/>
      <c r="QG14" s="45"/>
      <c r="QH14" s="45"/>
      <c r="QI14" s="45"/>
      <c r="QJ14" s="45"/>
      <c r="QK14" s="45"/>
      <c r="QL14" s="45"/>
      <c r="QM14" s="45"/>
      <c r="QN14" s="45"/>
      <c r="QO14" s="45"/>
      <c r="QP14" s="45"/>
      <c r="QQ14" s="45"/>
      <c r="QR14" s="45"/>
      <c r="QS14" s="45"/>
      <c r="QT14" s="45"/>
      <c r="QU14" s="45"/>
      <c r="QV14" s="45"/>
      <c r="QW14" s="45"/>
      <c r="QX14" s="45"/>
      <c r="QY14" s="45"/>
      <c r="QZ14" s="45"/>
      <c r="RA14" s="45"/>
      <c r="RB14" s="45"/>
      <c r="RC14" s="45"/>
      <c r="RD14" s="45"/>
      <c r="RE14" s="45"/>
      <c r="RF14" s="45"/>
      <c r="RG14" s="45"/>
      <c r="RH14" s="45"/>
      <c r="RI14" s="45"/>
      <c r="RJ14" s="45"/>
      <c r="RK14" s="45"/>
      <c r="RL14" s="45"/>
      <c r="RM14" s="45"/>
      <c r="RN14" s="45"/>
      <c r="RO14" s="45"/>
      <c r="RP14" s="45"/>
      <c r="RQ14" s="45"/>
      <c r="RR14" s="45"/>
      <c r="RS14" s="45"/>
      <c r="RT14" s="45"/>
      <c r="RU14" s="45"/>
      <c r="RV14" s="45"/>
      <c r="RW14" s="45"/>
      <c r="RX14" s="45"/>
      <c r="RY14" s="45"/>
      <c r="RZ14" s="45"/>
      <c r="SA14" s="45"/>
      <c r="SB14" s="45"/>
      <c r="SC14" s="45"/>
      <c r="SD14" s="45"/>
      <c r="SE14" s="45"/>
      <c r="SF14" s="45"/>
      <c r="SG14" s="45"/>
      <c r="SH14" s="45"/>
      <c r="SI14" s="45"/>
      <c r="SJ14" s="45"/>
      <c r="SK14" s="45"/>
      <c r="SL14" s="45"/>
      <c r="SM14" s="45"/>
      <c r="SN14" s="45"/>
      <c r="SO14" s="45"/>
      <c r="SP14" s="45"/>
      <c r="SQ14" s="45"/>
      <c r="SR14" s="45"/>
      <c r="SS14" s="45"/>
      <c r="ST14" s="45"/>
      <c r="SU14" s="45"/>
      <c r="SV14" s="45"/>
      <c r="SW14" s="45"/>
      <c r="SX14" s="45"/>
      <c r="SY14" s="45"/>
      <c r="SZ14" s="45"/>
      <c r="TA14" s="45"/>
      <c r="TB14" s="45"/>
      <c r="TC14" s="45"/>
      <c r="TD14" s="45"/>
      <c r="TE14" s="45"/>
      <c r="TF14" s="45"/>
      <c r="TG14" s="45"/>
      <c r="TH14" s="45"/>
      <c r="TI14" s="45"/>
      <c r="TJ14" s="45"/>
      <c r="TK14" s="45"/>
      <c r="TL14" s="45"/>
      <c r="TM14" s="45"/>
      <c r="TN14" s="45"/>
      <c r="TO14" s="45"/>
      <c r="TP14" s="45"/>
      <c r="TQ14" s="45"/>
      <c r="TR14" s="45"/>
      <c r="TS14" s="45"/>
      <c r="TT14" s="45"/>
      <c r="TU14" s="45"/>
      <c r="TV14" s="45"/>
      <c r="TW14" s="45"/>
      <c r="TX14" s="45"/>
      <c r="TY14" s="45"/>
      <c r="TZ14" s="45"/>
      <c r="UA14" s="45"/>
      <c r="UB14" s="45"/>
      <c r="UC14" s="45"/>
      <c r="UD14" s="45"/>
      <c r="UE14" s="45"/>
      <c r="UF14" s="45"/>
      <c r="UG14" s="45"/>
      <c r="UH14" s="45"/>
      <c r="UI14" s="45"/>
      <c r="UJ14" s="45"/>
      <c r="UK14" s="45"/>
      <c r="UL14" s="45"/>
      <c r="UM14" s="45"/>
      <c r="UN14" s="45"/>
      <c r="UO14" s="45"/>
      <c r="UP14" s="45"/>
      <c r="UQ14" s="45"/>
      <c r="UR14" s="45"/>
      <c r="US14" s="45"/>
      <c r="UT14" s="45"/>
      <c r="UU14" s="45"/>
      <c r="UV14" s="45"/>
      <c r="UW14" s="45"/>
      <c r="UX14" s="45"/>
      <c r="UY14" s="45"/>
      <c r="UZ14" s="45"/>
      <c r="VA14" s="45"/>
      <c r="VB14" s="45"/>
      <c r="VC14" s="45"/>
      <c r="VD14" s="45"/>
      <c r="VE14" s="45"/>
      <c r="VF14" s="45"/>
      <c r="VG14" s="45"/>
      <c r="VH14" s="45"/>
      <c r="VI14" s="45"/>
      <c r="VJ14" s="45"/>
      <c r="VK14" s="45"/>
      <c r="VL14" s="45"/>
      <c r="VM14" s="45"/>
      <c r="VN14" s="45"/>
      <c r="VO14" s="45"/>
      <c r="VP14" s="45"/>
      <c r="VQ14" s="45"/>
      <c r="VR14" s="45"/>
      <c r="VS14" s="45"/>
      <c r="VT14" s="45"/>
      <c r="VU14" s="45"/>
      <c r="VV14" s="45"/>
      <c r="VW14" s="45"/>
      <c r="VX14" s="45"/>
      <c r="VY14" s="45"/>
      <c r="VZ14" s="45"/>
      <c r="WA14" s="45"/>
      <c r="WB14" s="45"/>
      <c r="WC14" s="45"/>
      <c r="WD14" s="45"/>
      <c r="WE14" s="45"/>
      <c r="WF14" s="45"/>
      <c r="WG14" s="45"/>
      <c r="WH14" s="45"/>
      <c r="WI14" s="45"/>
      <c r="WJ14" s="45"/>
      <c r="WK14" s="45"/>
      <c r="WL14" s="45"/>
      <c r="WM14" s="45"/>
      <c r="WN14" s="45"/>
      <c r="WO14" s="45"/>
      <c r="WP14" s="45"/>
      <c r="WQ14" s="45"/>
      <c r="WR14" s="45"/>
      <c r="WS14" s="45"/>
      <c r="WT14" s="45"/>
      <c r="WU14" s="45"/>
      <c r="WV14" s="45"/>
      <c r="WW14" s="45"/>
      <c r="WX14" s="45"/>
      <c r="WY14" s="45"/>
      <c r="WZ14" s="45"/>
      <c r="XA14" s="45"/>
      <c r="XB14" s="45"/>
      <c r="XC14" s="45"/>
      <c r="XD14" s="45"/>
      <c r="XE14" s="45"/>
      <c r="XF14" s="45"/>
      <c r="XG14" s="45"/>
      <c r="XH14" s="45"/>
      <c r="XI14" s="45"/>
      <c r="XJ14" s="45"/>
      <c r="XK14" s="45"/>
      <c r="XL14" s="45"/>
      <c r="XM14" s="45"/>
      <c r="XN14" s="45"/>
      <c r="XO14" s="45"/>
      <c r="XP14" s="45"/>
      <c r="XQ14" s="45"/>
      <c r="XR14" s="45"/>
      <c r="XS14" s="45"/>
      <c r="XT14" s="45"/>
      <c r="XU14" s="45"/>
      <c r="XV14" s="45"/>
      <c r="XW14" s="45"/>
      <c r="XX14" s="45"/>
      <c r="XY14" s="45"/>
      <c r="XZ14" s="45"/>
      <c r="YA14" s="45"/>
      <c r="YB14" s="45"/>
      <c r="YC14" s="45"/>
      <c r="YD14" s="45"/>
      <c r="YE14" s="45"/>
      <c r="YF14" s="45"/>
      <c r="YG14" s="45"/>
      <c r="YH14" s="45"/>
      <c r="YI14" s="45"/>
      <c r="YJ14" s="45"/>
      <c r="YK14" s="45"/>
      <c r="YL14" s="45"/>
      <c r="YM14" s="45"/>
      <c r="YN14" s="45"/>
      <c r="YO14" s="45"/>
      <c r="YP14" s="45"/>
      <c r="YQ14" s="45"/>
      <c r="YR14" s="45"/>
      <c r="YS14" s="45"/>
      <c r="YT14" s="45"/>
      <c r="YU14" s="45"/>
      <c r="YV14" s="45"/>
      <c r="YW14" s="45"/>
      <c r="YX14" s="45"/>
      <c r="YY14" s="45"/>
      <c r="YZ14" s="45"/>
      <c r="ZA14" s="45"/>
      <c r="ZB14" s="45"/>
      <c r="ZC14" s="45"/>
      <c r="ZD14" s="45"/>
      <c r="ZE14" s="45"/>
      <c r="ZF14" s="45"/>
      <c r="ZG14" s="45"/>
      <c r="ZH14" s="45"/>
      <c r="ZI14" s="45"/>
      <c r="ZJ14" s="45"/>
      <c r="ZK14" s="45"/>
      <c r="ZL14" s="45"/>
      <c r="ZM14" s="45"/>
      <c r="ZN14" s="45"/>
      <c r="ZO14" s="45"/>
      <c r="ZP14" s="45"/>
      <c r="ZQ14" s="45"/>
      <c r="ZR14" s="45"/>
      <c r="ZS14" s="45"/>
      <c r="ZT14" s="45"/>
      <c r="ZU14" s="45"/>
      <c r="ZV14" s="45"/>
      <c r="ZW14" s="45"/>
      <c r="ZX14" s="45"/>
      <c r="ZY14" s="45"/>
      <c r="ZZ14" s="45"/>
      <c r="AAA14" s="45"/>
      <c r="AAB14" s="45"/>
      <c r="AAC14" s="45"/>
      <c r="AAD14" s="45"/>
      <c r="AAE14" s="45"/>
      <c r="AAF14" s="45"/>
      <c r="AAG14" s="45"/>
      <c r="AAH14" s="45"/>
      <c r="AAI14" s="45"/>
      <c r="AAJ14" s="45"/>
      <c r="AAK14" s="45"/>
      <c r="AAL14" s="45"/>
      <c r="AAM14" s="45"/>
      <c r="AAN14" s="45"/>
      <c r="AAO14" s="45"/>
      <c r="AAP14" s="45"/>
      <c r="AAQ14" s="45"/>
      <c r="AAR14" s="45"/>
      <c r="AAS14" s="45"/>
      <c r="AAT14" s="45"/>
      <c r="AAU14" s="45"/>
      <c r="AAV14" s="45"/>
      <c r="AAW14" s="45"/>
      <c r="AAX14" s="45"/>
      <c r="AAY14" s="45"/>
      <c r="AAZ14" s="45"/>
      <c r="ABA14" s="45"/>
      <c r="ABB14" s="45"/>
      <c r="ABC14" s="45"/>
      <c r="ABD14" s="45"/>
      <c r="ABE14" s="45"/>
      <c r="ABF14" s="45"/>
      <c r="ABG14" s="45"/>
      <c r="ABH14" s="45"/>
      <c r="ABI14" s="45"/>
      <c r="ABJ14" s="45"/>
      <c r="ABK14" s="45"/>
      <c r="ABL14" s="45"/>
      <c r="ABM14" s="45"/>
      <c r="ABN14" s="45"/>
      <c r="ABO14" s="45"/>
      <c r="ABP14" s="45"/>
      <c r="ABQ14" s="45"/>
      <c r="ABR14" s="45"/>
      <c r="ABS14" s="45"/>
      <c r="ABT14" s="45"/>
      <c r="ABU14" s="45"/>
      <c r="ABV14" s="45"/>
      <c r="ABW14" s="45"/>
      <c r="ABX14" s="45"/>
      <c r="ABY14" s="45"/>
      <c r="ABZ14" s="45"/>
      <c r="ACA14" s="45"/>
      <c r="ACB14" s="45"/>
      <c r="ACC14" s="45"/>
      <c r="ACD14" s="45"/>
      <c r="ACE14" s="45"/>
      <c r="ACF14" s="45"/>
      <c r="ACG14" s="45"/>
      <c r="ACH14" s="45"/>
      <c r="ACI14" s="45"/>
      <c r="ACJ14" s="45"/>
      <c r="ACK14" s="45"/>
      <c r="ACL14" s="45"/>
      <c r="ACM14" s="45"/>
      <c r="ACN14" s="45"/>
      <c r="ACO14" s="45"/>
      <c r="ACP14" s="45"/>
      <c r="ACQ14" s="45"/>
      <c r="ACR14" s="45"/>
      <c r="ACS14" s="45"/>
      <c r="ACT14" s="45"/>
      <c r="ACU14" s="45"/>
      <c r="ACV14" s="45"/>
      <c r="ACW14" s="45"/>
      <c r="ACX14" s="45"/>
      <c r="ACY14" s="45"/>
      <c r="ACZ14" s="45"/>
      <c r="ADA14" s="45"/>
      <c r="ADB14" s="45"/>
      <c r="ADC14" s="45"/>
      <c r="ADD14" s="45"/>
      <c r="ADE14" s="45"/>
      <c r="ADF14" s="45"/>
      <c r="ADG14" s="45"/>
      <c r="ADH14" s="45"/>
      <c r="ADI14" s="45"/>
      <c r="ADJ14" s="45"/>
      <c r="ADK14" s="45"/>
      <c r="ADL14" s="45"/>
      <c r="ADM14" s="45"/>
      <c r="ADN14" s="45"/>
      <c r="ADO14" s="45"/>
      <c r="ADP14" s="45"/>
      <c r="ADQ14" s="45"/>
      <c r="ADR14" s="45"/>
      <c r="ADS14" s="45"/>
      <c r="ADT14" s="45"/>
      <c r="ADU14" s="45"/>
      <c r="ADV14" s="45"/>
      <c r="ADW14" s="45"/>
      <c r="ADX14" s="45"/>
      <c r="ADY14" s="45"/>
      <c r="ADZ14" s="45"/>
      <c r="AEA14" s="45"/>
      <c r="AEB14" s="45"/>
      <c r="AEC14" s="45"/>
      <c r="AED14" s="45"/>
      <c r="AEE14" s="45"/>
      <c r="AEF14" s="45"/>
      <c r="AEG14" s="45"/>
      <c r="AEH14" s="45"/>
      <c r="AEI14" s="45"/>
      <c r="AEJ14" s="45"/>
      <c r="AEK14" s="45"/>
      <c r="AEL14" s="45"/>
      <c r="AEM14" s="45"/>
      <c r="AEN14" s="45"/>
      <c r="AEO14" s="45"/>
      <c r="AEP14" s="45"/>
      <c r="AEQ14" s="45"/>
      <c r="AER14" s="45"/>
      <c r="AES14" s="45"/>
      <c r="AET14" s="45"/>
      <c r="AEU14" s="45"/>
      <c r="AEV14" s="45"/>
      <c r="AEW14" s="45"/>
      <c r="AEX14" s="45"/>
      <c r="AEY14" s="45"/>
      <c r="AEZ14" s="45"/>
      <c r="AFA14" s="45"/>
      <c r="AFB14" s="45"/>
      <c r="AFC14" s="45"/>
      <c r="AFD14" s="45"/>
      <c r="AFE14" s="45"/>
      <c r="AFF14" s="45"/>
      <c r="AFG14" s="45"/>
      <c r="AFH14" s="45"/>
      <c r="AFI14" s="45"/>
      <c r="AFJ14" s="45"/>
      <c r="AFK14" s="45"/>
      <c r="AFL14" s="45"/>
      <c r="AFM14" s="45"/>
      <c r="AFN14" s="45"/>
      <c r="AFO14" s="45"/>
      <c r="AFP14" s="45"/>
      <c r="AFQ14" s="45"/>
      <c r="AFR14" s="45"/>
      <c r="AFS14" s="45"/>
      <c r="AFT14" s="45"/>
      <c r="AFU14" s="45"/>
      <c r="AFV14" s="45"/>
      <c r="AFW14" s="45"/>
      <c r="AFX14" s="45"/>
      <c r="AFY14" s="45"/>
      <c r="AFZ14" s="45"/>
      <c r="AGA14" s="45"/>
      <c r="AGB14" s="45"/>
      <c r="AGC14" s="45"/>
      <c r="AGD14" s="45"/>
      <c r="AGE14" s="45"/>
      <c r="AGF14" s="45"/>
      <c r="AGG14" s="45"/>
      <c r="AGH14" s="45"/>
      <c r="AGI14" s="45"/>
      <c r="AGJ14" s="45"/>
      <c r="AGK14" s="45"/>
      <c r="AGL14" s="45"/>
      <c r="AGM14" s="45"/>
      <c r="AGN14" s="45"/>
      <c r="AGO14" s="45"/>
      <c r="AGP14" s="45"/>
      <c r="AGQ14" s="45"/>
      <c r="AGR14" s="45"/>
      <c r="AGS14" s="45"/>
      <c r="AGT14" s="45"/>
      <c r="AGU14" s="45"/>
      <c r="AGV14" s="45"/>
      <c r="AGW14" s="45"/>
      <c r="AGX14" s="45"/>
      <c r="AGY14" s="45"/>
      <c r="AGZ14" s="45"/>
      <c r="AHA14" s="45"/>
      <c r="AHB14" s="45"/>
      <c r="AHC14" s="45"/>
      <c r="AHD14" s="45"/>
      <c r="AHE14" s="45"/>
      <c r="AHF14" s="45"/>
      <c r="AHG14" s="45"/>
      <c r="AHH14" s="45"/>
      <c r="AHI14" s="45"/>
      <c r="AHJ14" s="45"/>
      <c r="AHK14" s="45"/>
      <c r="AHL14" s="45"/>
      <c r="AHM14" s="45"/>
      <c r="AHN14" s="45"/>
      <c r="AHO14" s="45"/>
      <c r="AHP14" s="45"/>
      <c r="AHQ14" s="45"/>
      <c r="AHR14" s="45"/>
      <c r="AHS14" s="45"/>
      <c r="AHT14" s="45"/>
      <c r="AHU14" s="45"/>
      <c r="AHV14" s="45"/>
      <c r="AHW14" s="45"/>
      <c r="AHX14" s="45"/>
      <c r="AHY14" s="45"/>
      <c r="AHZ14" s="45"/>
      <c r="AIA14" s="45"/>
      <c r="AIB14" s="45"/>
      <c r="AIC14" s="45"/>
      <c r="AID14" s="45"/>
      <c r="AIE14" s="45"/>
      <c r="AIF14" s="45"/>
      <c r="AIG14" s="45"/>
      <c r="AIH14" s="45"/>
      <c r="AII14" s="45"/>
      <c r="AIJ14" s="45"/>
      <c r="AIK14" s="45"/>
      <c r="AIL14" s="45"/>
      <c r="AIM14" s="45"/>
      <c r="AIN14" s="45"/>
      <c r="AIO14" s="45"/>
      <c r="AIP14" s="45"/>
      <c r="AIQ14" s="45"/>
      <c r="AIR14" s="45"/>
      <c r="AIS14" s="45"/>
      <c r="AIT14" s="45"/>
      <c r="AIU14" s="45"/>
      <c r="AIV14" s="45"/>
      <c r="AIW14" s="45"/>
      <c r="AIX14" s="45"/>
      <c r="AIY14" s="45"/>
      <c r="AIZ14" s="45"/>
      <c r="AJA14" s="45"/>
      <c r="AJB14" s="45"/>
      <c r="AJC14" s="45"/>
      <c r="AJD14" s="45"/>
      <c r="AJE14" s="45"/>
      <c r="AJF14" s="45"/>
      <c r="AJG14" s="45"/>
      <c r="AJH14" s="45"/>
      <c r="AJI14" s="45"/>
      <c r="AJJ14" s="45"/>
      <c r="AJK14" s="45"/>
      <c r="AJL14" s="45"/>
      <c r="AJM14" s="45"/>
      <c r="AJN14" s="45"/>
      <c r="AJO14" s="45"/>
      <c r="AJP14" s="45"/>
      <c r="AJQ14" s="45"/>
      <c r="AJR14" s="45"/>
      <c r="AJS14" s="45"/>
      <c r="AJT14" s="45"/>
      <c r="AJU14" s="45"/>
      <c r="AJV14" s="45"/>
      <c r="AJW14" s="45"/>
      <c r="AJX14" s="45"/>
      <c r="AJY14" s="45"/>
      <c r="AJZ14" s="45"/>
      <c r="AKA14" s="45"/>
      <c r="AKB14" s="45"/>
      <c r="AKC14" s="45"/>
      <c r="AKD14" s="45"/>
      <c r="AKE14" s="45"/>
      <c r="AKF14" s="45"/>
      <c r="AKG14" s="45"/>
      <c r="AKH14" s="45"/>
      <c r="AKI14" s="45"/>
      <c r="AKJ14" s="45"/>
      <c r="AKK14" s="45"/>
      <c r="AKL14" s="45"/>
      <c r="AKM14" s="45"/>
      <c r="AKN14" s="45"/>
      <c r="AKO14" s="45"/>
      <c r="AKP14" s="45"/>
      <c r="AKQ14" s="45"/>
      <c r="AKR14" s="45"/>
      <c r="AKS14" s="45"/>
      <c r="AKT14" s="45"/>
      <c r="AKU14" s="45"/>
      <c r="AKV14" s="45"/>
      <c r="AKW14" s="45"/>
      <c r="AKX14" s="45"/>
      <c r="AKY14" s="45"/>
      <c r="AKZ14" s="45"/>
      <c r="ALA14" s="45"/>
      <c r="ALB14" s="45"/>
      <c r="ALC14" s="45"/>
      <c r="ALD14" s="45"/>
      <c r="ALE14" s="45"/>
      <c r="ALF14" s="45"/>
      <c r="ALG14" s="45"/>
      <c r="ALH14" s="45"/>
      <c r="ALI14" s="45"/>
      <c r="ALJ14" s="45"/>
      <c r="ALK14" s="45"/>
      <c r="ALL14" s="45"/>
      <c r="ALM14" s="45"/>
      <c r="ALN14" s="45"/>
      <c r="ALO14" s="45"/>
      <c r="ALP14" s="45"/>
      <c r="ALQ14" s="45"/>
      <c r="ALR14" s="45"/>
      <c r="ALS14" s="45"/>
      <c r="ALT14" s="45"/>
      <c r="ALU14" s="45"/>
      <c r="ALV14" s="45"/>
      <c r="ALW14" s="45"/>
      <c r="ALX14" s="45"/>
      <c r="ALY14" s="45"/>
      <c r="ALZ14" s="45"/>
      <c r="AMA14" s="45"/>
      <c r="AMB14" s="45"/>
      <c r="AMC14" s="45"/>
      <c r="AMD14" s="45"/>
      <c r="AME14" s="45"/>
      <c r="AMF14" s="45"/>
      <c r="AMG14" s="45"/>
      <c r="AMH14" s="45"/>
      <c r="AMI14" s="45"/>
      <c r="AMJ14" s="45"/>
      <c r="AMK14" s="45"/>
      <c r="AML14" s="45"/>
      <c r="AMM14" s="45"/>
      <c r="AMN14" s="45"/>
      <c r="AMO14" s="45"/>
      <c r="AMP14" s="45"/>
      <c r="AMQ14" s="45"/>
      <c r="AMR14" s="45"/>
      <c r="AMS14" s="45"/>
      <c r="AMT14" s="45"/>
      <c r="AMU14" s="45"/>
      <c r="AMV14" s="45"/>
      <c r="AMW14" s="45"/>
      <c r="AMX14" s="45"/>
      <c r="AMY14" s="45"/>
      <c r="AMZ14" s="45"/>
      <c r="ANA14" s="45"/>
      <c r="ANB14" s="45"/>
      <c r="ANC14" s="45"/>
      <c r="AND14" s="45"/>
      <c r="ANE14" s="45"/>
      <c r="ANF14" s="45"/>
      <c r="ANG14" s="45"/>
      <c r="ANH14" s="45"/>
      <c r="ANI14" s="45"/>
      <c r="ANJ14" s="45"/>
      <c r="ANK14" s="45"/>
      <c r="ANL14" s="45"/>
      <c r="ANM14" s="45"/>
      <c r="ANN14" s="45"/>
      <c r="ANO14" s="45"/>
      <c r="ANP14" s="45"/>
      <c r="ANQ14" s="45"/>
      <c r="ANR14" s="45"/>
      <c r="ANS14" s="45"/>
      <c r="ANT14" s="45"/>
      <c r="ANU14" s="45"/>
      <c r="ANV14" s="45"/>
      <c r="ANW14" s="45"/>
      <c r="ANX14" s="45"/>
      <c r="ANY14" s="45"/>
      <c r="ANZ14" s="45"/>
      <c r="AOA14" s="45"/>
      <c r="AOB14" s="45"/>
      <c r="AOC14" s="45"/>
      <c r="AOD14" s="45"/>
      <c r="AOE14" s="45"/>
      <c r="AOF14" s="45"/>
      <c r="AOG14" s="45"/>
      <c r="AOH14" s="45"/>
      <c r="AOI14" s="45"/>
      <c r="AOJ14" s="45"/>
      <c r="AOK14" s="45"/>
      <c r="AOL14" s="45"/>
      <c r="AOM14" s="45"/>
      <c r="AON14" s="45"/>
      <c r="AOO14" s="45"/>
      <c r="AOP14" s="45"/>
      <c r="AOQ14" s="45"/>
      <c r="AOR14" s="45"/>
      <c r="AOS14" s="45"/>
      <c r="AOT14" s="45"/>
      <c r="AOU14" s="45"/>
      <c r="AOV14" s="45"/>
      <c r="AOW14" s="45"/>
      <c r="AOX14" s="45"/>
      <c r="AOY14" s="45"/>
      <c r="AOZ14" s="45"/>
      <c r="APA14" s="45"/>
      <c r="APB14" s="45"/>
      <c r="APC14" s="45"/>
      <c r="APD14" s="45"/>
      <c r="APE14" s="45"/>
      <c r="APF14" s="45"/>
      <c r="APG14" s="45"/>
      <c r="APH14" s="45"/>
      <c r="API14" s="45"/>
      <c r="APJ14" s="45"/>
      <c r="APK14" s="45"/>
      <c r="APL14" s="45"/>
      <c r="APM14" s="45"/>
      <c r="APN14" s="45"/>
      <c r="APO14" s="45"/>
      <c r="APP14" s="45"/>
      <c r="APQ14" s="45"/>
      <c r="APR14" s="45"/>
      <c r="APS14" s="45"/>
      <c r="APT14" s="45"/>
      <c r="APU14" s="45"/>
      <c r="APV14" s="45"/>
      <c r="APW14" s="45"/>
      <c r="APX14" s="45"/>
      <c r="APY14" s="45"/>
      <c r="APZ14" s="45"/>
      <c r="AQA14" s="45"/>
      <c r="AQB14" s="45"/>
      <c r="AQC14" s="45"/>
      <c r="AQD14" s="45"/>
      <c r="AQE14" s="45"/>
      <c r="AQF14" s="45"/>
      <c r="AQG14" s="45"/>
      <c r="AQH14" s="45"/>
      <c r="AQI14" s="45"/>
      <c r="AQJ14" s="45"/>
      <c r="AQK14" s="45"/>
      <c r="AQL14" s="45"/>
      <c r="AQM14" s="45"/>
      <c r="AQN14" s="45"/>
      <c r="AQO14" s="45"/>
      <c r="AQP14" s="45"/>
      <c r="AQQ14" s="45"/>
      <c r="AQR14" s="45"/>
      <c r="AQS14" s="45"/>
      <c r="AQT14" s="45"/>
      <c r="AQU14" s="45"/>
      <c r="AQV14" s="45"/>
      <c r="AQW14" s="45"/>
      <c r="AQX14" s="45"/>
      <c r="AQY14" s="45"/>
      <c r="AQZ14" s="45"/>
      <c r="ARA14" s="45"/>
      <c r="ARB14" s="45"/>
      <c r="ARC14" s="45"/>
      <c r="ARD14" s="45"/>
      <c r="ARE14" s="45"/>
      <c r="ARF14" s="45"/>
      <c r="ARG14" s="45"/>
      <c r="ARH14" s="45"/>
      <c r="ARI14" s="45"/>
      <c r="ARJ14" s="45"/>
      <c r="ARK14" s="45"/>
      <c r="ARL14" s="45"/>
      <c r="ARM14" s="45"/>
      <c r="ARN14" s="45"/>
      <c r="ARO14" s="45"/>
      <c r="ARP14" s="45"/>
      <c r="ARQ14" s="45"/>
      <c r="ARR14" s="45"/>
      <c r="ARS14" s="45"/>
      <c r="ART14" s="45"/>
      <c r="ARU14" s="45"/>
      <c r="ARV14" s="45"/>
      <c r="ARW14" s="45"/>
      <c r="ARX14" s="45"/>
      <c r="ARY14" s="45"/>
      <c r="ARZ14" s="45"/>
      <c r="ASA14" s="45"/>
      <c r="ASB14" s="45"/>
      <c r="ASC14" s="45"/>
      <c r="ASD14" s="45"/>
      <c r="ASE14" s="45"/>
      <c r="ASF14" s="45"/>
      <c r="ASG14" s="45"/>
      <c r="ASH14" s="45"/>
      <c r="ASI14" s="45"/>
      <c r="ASJ14" s="45"/>
      <c r="ASK14" s="45"/>
      <c r="ASL14" s="45"/>
      <c r="ASM14" s="45"/>
      <c r="ASN14" s="45"/>
      <c r="ASO14" s="45"/>
      <c r="ASP14" s="45"/>
      <c r="ASQ14" s="45"/>
      <c r="ASR14" s="45"/>
      <c r="ASS14" s="45"/>
      <c r="AST14" s="45"/>
      <c r="ASU14" s="45"/>
      <c r="ASV14" s="45"/>
      <c r="ASW14" s="45"/>
      <c r="ASX14" s="45"/>
      <c r="ASY14" s="45"/>
      <c r="ASZ14" s="45"/>
      <c r="ATA14" s="45"/>
      <c r="ATB14" s="45"/>
      <c r="ATC14" s="45"/>
      <c r="ATD14" s="45"/>
      <c r="ATE14" s="45"/>
      <c r="ATF14" s="45"/>
      <c r="ATG14" s="45"/>
      <c r="ATH14" s="45"/>
      <c r="ATI14" s="45"/>
      <c r="ATJ14" s="45"/>
      <c r="ATK14" s="45"/>
      <c r="ATL14" s="45"/>
      <c r="ATM14" s="45"/>
      <c r="ATN14" s="45"/>
      <c r="ATO14" s="45"/>
      <c r="ATP14" s="45"/>
      <c r="ATQ14" s="45"/>
      <c r="ATR14" s="45"/>
      <c r="ATS14" s="45"/>
      <c r="ATT14" s="45"/>
      <c r="ATU14" s="45"/>
      <c r="ATV14" s="45"/>
      <c r="ATW14" s="45"/>
      <c r="ATX14" s="45"/>
      <c r="ATY14" s="45"/>
      <c r="ATZ14" s="45"/>
      <c r="AUA14" s="45"/>
      <c r="AUB14" s="45"/>
      <c r="AUC14" s="45"/>
      <c r="AUD14" s="45"/>
      <c r="AUE14" s="45"/>
      <c r="AUF14" s="45"/>
      <c r="AUG14" s="45"/>
      <c r="AUH14" s="45"/>
      <c r="AUI14" s="45"/>
      <c r="AUJ14" s="45"/>
      <c r="AUK14" s="45"/>
      <c r="AUL14" s="45"/>
      <c r="AUM14" s="45"/>
      <c r="AUN14" s="45"/>
      <c r="AUO14" s="45"/>
      <c r="AUP14" s="45"/>
      <c r="AUQ14" s="45"/>
      <c r="AUR14" s="45"/>
      <c r="AUS14" s="45"/>
      <c r="AUT14" s="45"/>
      <c r="AUU14" s="45"/>
      <c r="AUV14" s="45"/>
      <c r="AUW14" s="45"/>
      <c r="AUX14" s="45"/>
      <c r="AUY14" s="45"/>
      <c r="AUZ14" s="45"/>
      <c r="AVA14" s="45"/>
      <c r="AVB14" s="45"/>
      <c r="AVC14" s="45"/>
      <c r="AVD14" s="45"/>
      <c r="AVE14" s="45"/>
      <c r="AVF14" s="45"/>
      <c r="AVG14" s="45"/>
      <c r="AVH14" s="45"/>
      <c r="AVI14" s="45"/>
      <c r="AVJ14" s="45"/>
      <c r="AVK14" s="45"/>
      <c r="AVL14" s="45"/>
      <c r="AVM14" s="45"/>
      <c r="AVN14" s="45"/>
      <c r="AVO14" s="45"/>
      <c r="AVP14" s="45"/>
      <c r="AVQ14" s="45"/>
      <c r="AVR14" s="45"/>
      <c r="AVS14" s="45"/>
      <c r="AVT14" s="45"/>
      <c r="AVU14" s="45"/>
      <c r="AVV14" s="45"/>
      <c r="AVW14" s="45"/>
      <c r="AVX14" s="45"/>
      <c r="AVY14" s="45"/>
      <c r="AVZ14" s="45"/>
      <c r="AWA14" s="45"/>
      <c r="AWB14" s="45"/>
      <c r="AWC14" s="45"/>
      <c r="AWD14" s="45"/>
      <c r="AWE14" s="45"/>
      <c r="AWF14" s="45"/>
      <c r="AWG14" s="45"/>
      <c r="AWH14" s="45"/>
      <c r="AWI14" s="45"/>
      <c r="AWJ14" s="45"/>
      <c r="AWK14" s="45"/>
      <c r="AWL14" s="45"/>
      <c r="AWM14" s="45"/>
      <c r="AWN14" s="45"/>
      <c r="AWO14" s="45"/>
      <c r="AWP14" s="45"/>
      <c r="AWQ14" s="45"/>
      <c r="AWR14" s="45"/>
      <c r="AWS14" s="45"/>
      <c r="AWT14" s="45"/>
    </row>
    <row r="15" spans="1:1294" s="68" customFormat="1" ht="19.05" customHeight="1">
      <c r="A15" s="53"/>
      <c r="B15" s="784"/>
      <c r="C15" s="72" t="s">
        <v>71</v>
      </c>
      <c r="D15" s="793"/>
      <c r="E15" s="80">
        <f>COUNTIFS(Table13514520105[[#All],[Sales]],"คุณธวัช มีแสง",Table13514520105[[#All],[ค่าขายอุปกรณ์]],"&gt;1")</f>
        <v>0</v>
      </c>
      <c r="F15" s="75">
        <f>SUMIF(Table13514520105[[#All],[Sales]],"คุณธวัช มีแสง",Table13514520105[[#All],[Total
คอมฯ อุปกรณ์]])</f>
        <v>0</v>
      </c>
      <c r="G15" s="75">
        <f t="shared" si="0"/>
        <v>0</v>
      </c>
      <c r="H15" s="75">
        <f t="shared" si="1"/>
        <v>0</v>
      </c>
      <c r="I15" s="51"/>
      <c r="J15" s="77"/>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row>
    <row r="16" spans="1:1294" s="68" customFormat="1" ht="19.05" customHeight="1">
      <c r="A16" s="53"/>
      <c r="B16" s="784"/>
      <c r="C16" s="72" t="s">
        <v>72</v>
      </c>
      <c r="D16" s="793"/>
      <c r="E16" s="80">
        <f>COUNTIFS(Table13514520105[[#All],[Sales]],"คุณแดง มูลสองแคว",Table13514520105[[#All],[ค่าขายอุปกรณ์]],"&gt;1")</f>
        <v>0</v>
      </c>
      <c r="F16" s="75">
        <f>SUMIF(Table13514520105[[#All],[Sales]],"คุณแดง มูลสองแคว",Table13514520105[[#All],[Total
คอมฯ อุปกรณ์]])</f>
        <v>0</v>
      </c>
      <c r="G16" s="75">
        <f t="shared" si="0"/>
        <v>0</v>
      </c>
      <c r="H16" s="75">
        <f t="shared" si="1"/>
        <v>0</v>
      </c>
      <c r="I16" s="51"/>
      <c r="J16" s="77"/>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5"/>
      <c r="HA16" s="45"/>
      <c r="HB16" s="45"/>
      <c r="HC16" s="45"/>
      <c r="HD16" s="45"/>
      <c r="HE16" s="45"/>
      <c r="HF16" s="45"/>
      <c r="HG16" s="45"/>
      <c r="HH16" s="45"/>
      <c r="HI16" s="45"/>
      <c r="HJ16" s="45"/>
      <c r="HK16" s="45"/>
      <c r="HL16" s="45"/>
      <c r="HM16" s="45"/>
      <c r="HN16" s="45"/>
      <c r="HO16" s="45"/>
      <c r="HP16" s="45"/>
      <c r="HQ16" s="45"/>
      <c r="HR16" s="45"/>
      <c r="HS16" s="45"/>
      <c r="HT16" s="45"/>
      <c r="HU16" s="45"/>
      <c r="HV16" s="45"/>
      <c r="HW16" s="45"/>
      <c r="HX16" s="45"/>
      <c r="HY16" s="45"/>
      <c r="HZ16" s="45"/>
      <c r="IA16" s="45"/>
      <c r="IB16" s="45"/>
      <c r="IC16" s="45"/>
      <c r="ID16" s="45"/>
      <c r="IE16" s="45"/>
      <c r="IF16" s="45"/>
      <c r="IG16" s="45"/>
      <c r="IH16" s="45"/>
      <c r="II16" s="45"/>
      <c r="IJ16" s="45"/>
      <c r="IK16" s="45"/>
    </row>
    <row r="17" spans="1:245" s="68" customFormat="1" ht="19.05" customHeight="1">
      <c r="A17" s="53"/>
      <c r="B17" s="784"/>
      <c r="C17" s="136" t="s">
        <v>73</v>
      </c>
      <c r="D17" s="793"/>
      <c r="E17" s="80">
        <f>COUNTIFS(Table13514520105[[#All],[Sales]],"คุณนิยนต์ อยู่ทะเล",Table13514520105[[#All],[ค่าขายอุปกรณ์]],"&gt;1")</f>
        <v>0</v>
      </c>
      <c r="F17" s="75">
        <f>SUMIF(Table13514520105[[#All],[Sales]],"คุณนิยนต์ อยู่ทะเล",Table13514520105[[#All],[Total
คอมฯ อุปกรณ์]])</f>
        <v>0</v>
      </c>
      <c r="G17" s="75">
        <f t="shared" ref="G17:G23" si="3">F17*$G$3</f>
        <v>0</v>
      </c>
      <c r="H17" s="75">
        <f t="shared" si="1"/>
        <v>0</v>
      </c>
      <c r="I17" s="51"/>
      <c r="J17" s="77"/>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c r="EC17" s="45"/>
      <c r="ED17" s="45"/>
      <c r="EE17" s="45"/>
      <c r="EF17" s="45"/>
      <c r="EG17" s="45"/>
      <c r="EH17" s="45"/>
      <c r="EI17" s="45"/>
      <c r="EJ17" s="45"/>
      <c r="EK17" s="45"/>
      <c r="EL17" s="45"/>
      <c r="EM17" s="45"/>
      <c r="EN17" s="45"/>
      <c r="EO17" s="45"/>
      <c r="EP17" s="45"/>
      <c r="EQ17" s="45"/>
      <c r="ER17" s="45"/>
      <c r="ES17" s="45"/>
      <c r="ET17" s="45"/>
      <c r="EU17" s="45"/>
      <c r="EV17" s="45"/>
      <c r="EW17" s="45"/>
      <c r="EX17" s="45"/>
      <c r="EY17" s="45"/>
      <c r="EZ17" s="45"/>
      <c r="FA17" s="45"/>
      <c r="FB17" s="45"/>
      <c r="FC17" s="45"/>
      <c r="FD17" s="45"/>
      <c r="FE17" s="45"/>
      <c r="FF17" s="45"/>
      <c r="FG17" s="45"/>
      <c r="FH17" s="45"/>
      <c r="FI17" s="45"/>
      <c r="FJ17" s="45"/>
      <c r="FK17" s="45"/>
      <c r="FL17" s="45"/>
      <c r="FM17" s="45"/>
      <c r="FN17" s="45"/>
      <c r="FO17" s="45"/>
      <c r="FP17" s="45"/>
      <c r="FQ17" s="45"/>
      <c r="FR17" s="45"/>
      <c r="FS17" s="45"/>
      <c r="FT17" s="45"/>
      <c r="FU17" s="45"/>
      <c r="FV17" s="45"/>
      <c r="FW17" s="45"/>
      <c r="FX17" s="45"/>
      <c r="FY17" s="45"/>
      <c r="FZ17" s="45"/>
      <c r="GA17" s="45"/>
      <c r="GB17" s="45"/>
      <c r="GC17" s="45"/>
      <c r="GD17" s="45"/>
      <c r="GE17" s="45"/>
      <c r="GF17" s="45"/>
      <c r="GG17" s="45"/>
      <c r="GH17" s="45"/>
      <c r="GI17" s="45"/>
      <c r="GJ17" s="45"/>
      <c r="GK17" s="45"/>
      <c r="GL17" s="45"/>
      <c r="GM17" s="45"/>
      <c r="GN17" s="45"/>
      <c r="GO17" s="45"/>
      <c r="GP17" s="45"/>
      <c r="GQ17" s="45"/>
      <c r="GR17" s="45"/>
      <c r="GS17" s="45"/>
      <c r="GT17" s="45"/>
      <c r="GU17" s="45"/>
      <c r="GV17" s="45"/>
      <c r="GW17" s="45"/>
      <c r="GX17" s="45"/>
      <c r="GY17" s="45"/>
      <c r="GZ17" s="45"/>
      <c r="HA17" s="45"/>
      <c r="HB17" s="45"/>
      <c r="HC17" s="45"/>
      <c r="HD17" s="45"/>
      <c r="HE17" s="45"/>
      <c r="HF17" s="45"/>
      <c r="HG17" s="45"/>
      <c r="HH17" s="45"/>
      <c r="HI17" s="45"/>
      <c r="HJ17" s="45"/>
      <c r="HK17" s="45"/>
      <c r="HL17" s="45"/>
      <c r="HM17" s="45"/>
      <c r="HN17" s="45"/>
      <c r="HO17" s="45"/>
      <c r="HP17" s="45"/>
      <c r="HQ17" s="45"/>
      <c r="HR17" s="45"/>
      <c r="HS17" s="45"/>
      <c r="HT17" s="45"/>
      <c r="HU17" s="45"/>
      <c r="HV17" s="45"/>
      <c r="HW17" s="45"/>
      <c r="HX17" s="45"/>
      <c r="HY17" s="45"/>
      <c r="HZ17" s="45"/>
      <c r="IA17" s="45"/>
      <c r="IB17" s="45"/>
      <c r="IC17" s="45"/>
      <c r="ID17" s="45"/>
      <c r="IE17" s="45"/>
      <c r="IF17" s="45"/>
      <c r="IG17" s="45"/>
      <c r="IH17" s="45"/>
      <c r="II17" s="45"/>
      <c r="IJ17" s="45"/>
      <c r="IK17" s="45"/>
    </row>
    <row r="18" spans="1:245" s="68" customFormat="1" ht="19.05" customHeight="1">
      <c r="A18" s="53"/>
      <c r="B18" s="784"/>
      <c r="C18" s="142" t="s">
        <v>67</v>
      </c>
      <c r="D18" s="793"/>
      <c r="E18" s="80">
        <f>COUNTIFS(Table13514520105[[#All],[Sales]],"คุณรุ่งอรุณ อินบุญรอด",Table13514520105[[#All],[ค่าขายอุปกรณ์]],"&gt;1")</f>
        <v>0</v>
      </c>
      <c r="F18" s="75">
        <f>SUMIF(Table13514520105[[#All],[Sales]],"คุณรุ่งอรุณ อินบุญรอด",Table13514520105[[#All],[Total
คอมฯ อุปกรณ์]])</f>
        <v>0</v>
      </c>
      <c r="G18" s="75">
        <f t="shared" si="3"/>
        <v>0</v>
      </c>
      <c r="H18" s="75">
        <f t="shared" si="1"/>
        <v>0</v>
      </c>
      <c r="I18" s="51"/>
      <c r="J18" s="77"/>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c r="EC18" s="45"/>
      <c r="ED18" s="45"/>
      <c r="EE18" s="45"/>
      <c r="EF18" s="45"/>
      <c r="EG18" s="45"/>
      <c r="EH18" s="45"/>
      <c r="EI18" s="45"/>
      <c r="EJ18" s="45"/>
      <c r="EK18" s="45"/>
      <c r="EL18" s="45"/>
      <c r="EM18" s="45"/>
      <c r="EN18" s="45"/>
      <c r="EO18" s="45"/>
      <c r="EP18" s="45"/>
      <c r="EQ18" s="45"/>
      <c r="ER18" s="45"/>
      <c r="ES18" s="45"/>
      <c r="ET18" s="45"/>
      <c r="EU18" s="45"/>
      <c r="EV18" s="45"/>
      <c r="EW18" s="45"/>
      <c r="EX18" s="45"/>
      <c r="EY18" s="45"/>
      <c r="EZ18" s="45"/>
      <c r="FA18" s="45"/>
      <c r="FB18" s="45"/>
      <c r="FC18" s="45"/>
      <c r="FD18" s="45"/>
      <c r="FE18" s="45"/>
      <c r="FF18" s="45"/>
      <c r="FG18" s="45"/>
      <c r="FH18" s="45"/>
      <c r="FI18" s="45"/>
      <c r="FJ18" s="45"/>
      <c r="FK18" s="45"/>
      <c r="FL18" s="45"/>
      <c r="FM18" s="45"/>
      <c r="FN18" s="45"/>
      <c r="FO18" s="45"/>
      <c r="FP18" s="45"/>
      <c r="FQ18" s="45"/>
      <c r="FR18" s="45"/>
      <c r="FS18" s="45"/>
      <c r="FT18" s="45"/>
      <c r="FU18" s="45"/>
      <c r="FV18" s="45"/>
      <c r="FW18" s="45"/>
      <c r="FX18" s="45"/>
      <c r="FY18" s="45"/>
      <c r="FZ18" s="45"/>
      <c r="GA18" s="45"/>
      <c r="GB18" s="45"/>
      <c r="GC18" s="45"/>
      <c r="GD18" s="45"/>
      <c r="GE18" s="45"/>
      <c r="GF18" s="45"/>
      <c r="GG18" s="45"/>
      <c r="GH18" s="45"/>
      <c r="GI18" s="45"/>
      <c r="GJ18" s="45"/>
      <c r="GK18" s="45"/>
      <c r="GL18" s="45"/>
      <c r="GM18" s="45"/>
      <c r="GN18" s="45"/>
      <c r="GO18" s="45"/>
      <c r="GP18" s="45"/>
      <c r="GQ18" s="45"/>
      <c r="GR18" s="45"/>
      <c r="GS18" s="45"/>
      <c r="GT18" s="45"/>
      <c r="GU18" s="45"/>
      <c r="GV18" s="45"/>
      <c r="GW18" s="45"/>
      <c r="GX18" s="45"/>
      <c r="GY18" s="45"/>
      <c r="GZ18" s="45"/>
      <c r="HA18" s="45"/>
      <c r="HB18" s="45"/>
      <c r="HC18" s="45"/>
      <c r="HD18" s="45"/>
      <c r="HE18" s="45"/>
      <c r="HF18" s="45"/>
      <c r="HG18" s="45"/>
      <c r="HH18" s="45"/>
      <c r="HI18" s="45"/>
      <c r="HJ18" s="45"/>
      <c r="HK18" s="45"/>
      <c r="HL18" s="45"/>
      <c r="HM18" s="45"/>
      <c r="HN18" s="45"/>
      <c r="HO18" s="45"/>
      <c r="HP18" s="45"/>
      <c r="HQ18" s="45"/>
      <c r="HR18" s="45"/>
      <c r="HS18" s="45"/>
      <c r="HT18" s="45"/>
      <c r="HU18" s="45"/>
      <c r="HV18" s="45"/>
      <c r="HW18" s="45"/>
      <c r="HX18" s="45"/>
      <c r="HY18" s="45"/>
      <c r="HZ18" s="45"/>
      <c r="IA18" s="45"/>
      <c r="IB18" s="45"/>
      <c r="IC18" s="45"/>
      <c r="ID18" s="45"/>
      <c r="IE18" s="45"/>
      <c r="IF18" s="45"/>
      <c r="IG18" s="45"/>
      <c r="IH18" s="45"/>
      <c r="II18" s="45"/>
      <c r="IJ18" s="45"/>
      <c r="IK18" s="45"/>
    </row>
    <row r="19" spans="1:245" s="68" customFormat="1" ht="19.05" customHeight="1">
      <c r="A19" s="53"/>
      <c r="B19" s="784"/>
      <c r="C19" s="191" t="s">
        <v>68</v>
      </c>
      <c r="D19" s="793"/>
      <c r="E19" s="80">
        <f>COUNTIFS(Table13514520105[[#All],[Sales]],"คุณศศินาถ จุ้ยอยู่ทอง",Table13514520105[[#All],[ค่าขายอุปกรณ์]],"&gt;1")</f>
        <v>0</v>
      </c>
      <c r="F19" s="75">
        <f>SUMIF(Table13514520105[[#All],[Sales]],"คุณศศินาถ จุ้ยอยู่ทอง",Table13514520105[[#All],[Total
คอมฯ อุปกรณ์]])</f>
        <v>0</v>
      </c>
      <c r="G19" s="75">
        <f t="shared" si="3"/>
        <v>0</v>
      </c>
      <c r="H19" s="75">
        <f t="shared" si="1"/>
        <v>0</v>
      </c>
      <c r="I19" s="51"/>
      <c r="J19" s="77"/>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c r="GC19" s="45"/>
      <c r="GD19" s="45"/>
      <c r="GE19" s="45"/>
      <c r="GF19" s="45"/>
      <c r="GG19" s="45"/>
      <c r="GH19" s="45"/>
      <c r="GI19" s="45"/>
      <c r="GJ19" s="45"/>
      <c r="GK19" s="45"/>
      <c r="GL19" s="45"/>
      <c r="GM19" s="45"/>
      <c r="GN19" s="45"/>
      <c r="GO19" s="45"/>
      <c r="GP19" s="45"/>
      <c r="GQ19" s="45"/>
      <c r="GR19" s="45"/>
      <c r="GS19" s="45"/>
      <c r="GT19" s="45"/>
      <c r="GU19" s="45"/>
      <c r="GV19" s="45"/>
      <c r="GW19" s="45"/>
      <c r="GX19" s="45"/>
      <c r="GY19" s="45"/>
      <c r="GZ19" s="45"/>
      <c r="HA19" s="45"/>
      <c r="HB19" s="45"/>
      <c r="HC19" s="45"/>
      <c r="HD19" s="45"/>
      <c r="HE19" s="45"/>
      <c r="HF19" s="45"/>
      <c r="HG19" s="45"/>
      <c r="HH19" s="45"/>
      <c r="HI19" s="45"/>
      <c r="HJ19" s="45"/>
      <c r="HK19" s="45"/>
      <c r="HL19" s="45"/>
      <c r="HM19" s="45"/>
      <c r="HN19" s="45"/>
      <c r="HO19" s="45"/>
      <c r="HP19" s="45"/>
      <c r="HQ19" s="45"/>
      <c r="HR19" s="45"/>
      <c r="HS19" s="45"/>
      <c r="HT19" s="45"/>
      <c r="HU19" s="45"/>
      <c r="HV19" s="45"/>
      <c r="HW19" s="45"/>
      <c r="HX19" s="45"/>
      <c r="HY19" s="45"/>
      <c r="HZ19" s="45"/>
      <c r="IA19" s="45"/>
      <c r="IB19" s="45"/>
      <c r="IC19" s="45"/>
      <c r="ID19" s="45"/>
      <c r="IE19" s="45"/>
      <c r="IF19" s="45"/>
      <c r="IG19" s="45"/>
      <c r="IH19" s="45"/>
      <c r="II19" s="45"/>
      <c r="IJ19" s="45"/>
      <c r="IK19" s="45"/>
    </row>
    <row r="20" spans="1:245" s="68" customFormat="1" ht="19.05" customHeight="1">
      <c r="A20" s="53"/>
      <c r="B20" s="784"/>
      <c r="C20" s="191" t="s">
        <v>90</v>
      </c>
      <c r="D20" s="793"/>
      <c r="E20" s="80">
        <f>COUNTIFS(Table13514520105[[#All],[Sales]],"คุณณรงศ์ศักย์ เหล่ารัตนเวช",Table13514520105[[#All],[ค่าขายอุปกรณ์]],"&gt;1")</f>
        <v>0</v>
      </c>
      <c r="F20" s="75">
        <f>SUMIF(Table13514520105[[#All],[Sales]],"คุณณรงศ์ศักย์ เหล่ารัตนเวช",Table13514520105[[#All],[Total
คอมฯ อุปกรณ์]])</f>
        <v>0</v>
      </c>
      <c r="G20" s="75">
        <f t="shared" si="3"/>
        <v>0</v>
      </c>
      <c r="H20" s="75">
        <f t="shared" si="1"/>
        <v>0</v>
      </c>
      <c r="I20" s="51"/>
      <c r="J20" s="77"/>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45"/>
      <c r="HK20" s="45"/>
      <c r="HL20" s="45"/>
      <c r="HM20" s="45"/>
      <c r="HN20" s="45"/>
      <c r="HO20" s="45"/>
      <c r="HP20" s="45"/>
      <c r="HQ20" s="45"/>
      <c r="HR20" s="45"/>
      <c r="HS20" s="45"/>
      <c r="HT20" s="45"/>
      <c r="HU20" s="45"/>
      <c r="HV20" s="45"/>
      <c r="HW20" s="45"/>
      <c r="HX20" s="45"/>
      <c r="HY20" s="45"/>
      <c r="HZ20" s="45"/>
      <c r="IA20" s="45"/>
      <c r="IB20" s="45"/>
      <c r="IC20" s="45"/>
      <c r="ID20" s="45"/>
      <c r="IE20" s="45"/>
      <c r="IF20" s="45"/>
      <c r="IG20" s="45"/>
      <c r="IH20" s="45"/>
      <c r="II20" s="45"/>
      <c r="IJ20" s="45"/>
      <c r="IK20" s="45"/>
    </row>
    <row r="21" spans="1:245" s="68" customFormat="1" ht="19.05" customHeight="1">
      <c r="A21" s="53"/>
      <c r="B21" s="784"/>
      <c r="C21" s="190" t="s">
        <v>130</v>
      </c>
      <c r="D21" s="793"/>
      <c r="E21" s="80">
        <f>COUNTIFS(Table13514520105[[#All],[Sales]],"คุณชนัฐฎา สนคะมี",Table13514520105[[#All],[ค่าขายอุปกรณ์]],"&gt;1")</f>
        <v>0</v>
      </c>
      <c r="F21" s="75">
        <f>SUMIF(Table13514520105[[#All],[Sales]],"คุณชนัฐฎา สนคะมี",Table13514520105[[#All],[Total
คอมฯ อุปกรณ์]])</f>
        <v>0</v>
      </c>
      <c r="G21" s="75">
        <f t="shared" si="3"/>
        <v>0</v>
      </c>
      <c r="H21" s="75">
        <f t="shared" si="1"/>
        <v>0</v>
      </c>
      <c r="I21" s="51"/>
      <c r="J21" s="77"/>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45"/>
      <c r="GS21" s="45"/>
      <c r="GT21" s="45"/>
      <c r="GU21" s="45"/>
      <c r="GV21" s="45"/>
      <c r="GW21" s="45"/>
      <c r="GX21" s="45"/>
      <c r="GY21" s="45"/>
      <c r="GZ21" s="45"/>
      <c r="HA21" s="45"/>
      <c r="HB21" s="45"/>
      <c r="HC21" s="45"/>
      <c r="HD21" s="45"/>
      <c r="HE21" s="45"/>
      <c r="HF21" s="45"/>
      <c r="HG21" s="45"/>
      <c r="HH21" s="45"/>
      <c r="HI21" s="45"/>
      <c r="HJ21" s="45"/>
      <c r="HK21" s="45"/>
      <c r="HL21" s="45"/>
      <c r="HM21" s="45"/>
      <c r="HN21" s="45"/>
      <c r="HO21" s="45"/>
      <c r="HP21" s="45"/>
      <c r="HQ21" s="45"/>
      <c r="HR21" s="45"/>
      <c r="HS21" s="45"/>
      <c r="HT21" s="45"/>
      <c r="HU21" s="45"/>
      <c r="HV21" s="45"/>
      <c r="HW21" s="45"/>
      <c r="HX21" s="45"/>
      <c r="HY21" s="45"/>
      <c r="HZ21" s="45"/>
      <c r="IA21" s="45"/>
      <c r="IB21" s="45"/>
      <c r="IC21" s="45"/>
      <c r="ID21" s="45"/>
      <c r="IE21" s="45"/>
      <c r="IF21" s="45"/>
      <c r="IG21" s="45"/>
      <c r="IH21" s="45"/>
      <c r="II21" s="45"/>
      <c r="IJ21" s="45"/>
      <c r="IK21" s="45"/>
    </row>
    <row r="22" spans="1:245" s="68" customFormat="1" ht="19.05" customHeight="1">
      <c r="A22" s="70"/>
      <c r="B22" s="784"/>
      <c r="C22" s="73" t="s">
        <v>69</v>
      </c>
      <c r="D22" s="794"/>
      <c r="E22" s="80">
        <f>COUNTIFS(Table13514520105[[#All],[Sales]],"คุณธัญลักษณ์ หมื่นหลุบกุง",Table13514520105[[#All],[ค่าขายอุปกรณ์]],"&gt;1")</f>
        <v>0</v>
      </c>
      <c r="F22" s="75">
        <f>SUMIF(Table13514520105[[#All],[Sales]],"คุณธัญลักษณ์ หมื่นหลุบกุง",Table13514520105[[#All],[Total
คอมฯ อุปกรณ์]])</f>
        <v>0</v>
      </c>
      <c r="G22" s="75">
        <f t="shared" si="3"/>
        <v>0</v>
      </c>
      <c r="H22" s="75">
        <f t="shared" si="1"/>
        <v>0</v>
      </c>
      <c r="I22" s="51"/>
      <c r="J22" s="51"/>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c r="EN22" s="45"/>
      <c r="EO22" s="45"/>
      <c r="EP22" s="45"/>
      <c r="EQ22" s="45"/>
      <c r="ER22" s="45"/>
      <c r="ES22" s="45"/>
      <c r="ET22" s="45"/>
      <c r="EU22" s="45"/>
      <c r="EV22" s="45"/>
      <c r="EW22" s="45"/>
      <c r="EX22" s="45"/>
      <c r="EY22" s="45"/>
      <c r="EZ22" s="45"/>
      <c r="FA22" s="45"/>
      <c r="FB22" s="45"/>
      <c r="FC22" s="45"/>
      <c r="FD22" s="45"/>
      <c r="FE22" s="45"/>
      <c r="FF22" s="45"/>
      <c r="FG22" s="45"/>
      <c r="FH22" s="45"/>
      <c r="FI22" s="45"/>
      <c r="FJ22" s="45"/>
      <c r="FK22" s="45"/>
      <c r="FL22" s="45"/>
      <c r="FM22" s="45"/>
      <c r="FN22" s="45"/>
      <c r="FO22" s="45"/>
      <c r="FP22" s="45"/>
      <c r="FQ22" s="45"/>
      <c r="FR22" s="45"/>
      <c r="FS22" s="45"/>
      <c r="FT22" s="45"/>
      <c r="FU22" s="45"/>
      <c r="FV22" s="45"/>
      <c r="FW22" s="45"/>
      <c r="FX22" s="45"/>
      <c r="FY22" s="45"/>
      <c r="FZ22" s="45"/>
      <c r="GA22" s="45"/>
      <c r="GB22" s="45"/>
      <c r="GC22" s="45"/>
      <c r="GD22" s="45"/>
      <c r="GE22" s="45"/>
      <c r="GF22" s="45"/>
      <c r="GG22" s="45"/>
      <c r="GH22" s="45"/>
      <c r="GI22" s="45"/>
      <c r="GJ22" s="45"/>
      <c r="GK22" s="45"/>
      <c r="GL22" s="45"/>
      <c r="GM22" s="45"/>
      <c r="GN22" s="45"/>
      <c r="GO22" s="45"/>
      <c r="GP22" s="45"/>
      <c r="GQ22" s="45"/>
      <c r="GR22" s="45"/>
      <c r="GS22" s="45"/>
      <c r="GT22" s="45"/>
      <c r="GU22" s="45"/>
      <c r="GV22" s="45"/>
      <c r="GW22" s="45"/>
      <c r="GX22" s="45"/>
      <c r="GY22" s="45"/>
      <c r="GZ22" s="45"/>
      <c r="HA22" s="45"/>
      <c r="HB22" s="45"/>
      <c r="HC22" s="45"/>
      <c r="HD22" s="45"/>
      <c r="HE22" s="45"/>
      <c r="HF22" s="45"/>
      <c r="HG22" s="45"/>
      <c r="HH22" s="45"/>
      <c r="HI22" s="45"/>
      <c r="HJ22" s="45"/>
      <c r="HK22" s="45"/>
      <c r="HL22" s="45"/>
      <c r="HM22" s="45"/>
      <c r="HN22" s="45"/>
      <c r="HO22" s="45"/>
      <c r="HP22" s="45"/>
      <c r="HQ22" s="45"/>
      <c r="HR22" s="45"/>
      <c r="HS22" s="45"/>
      <c r="HT22" s="45"/>
      <c r="HU22" s="45"/>
      <c r="HV22" s="45"/>
      <c r="HW22" s="45"/>
      <c r="HX22" s="45"/>
      <c r="HY22" s="45"/>
      <c r="HZ22" s="45"/>
      <c r="IA22" s="45"/>
      <c r="IB22" s="45"/>
      <c r="IC22" s="45"/>
      <c r="ID22" s="45"/>
      <c r="IE22" s="45"/>
      <c r="IF22" s="45"/>
      <c r="IG22" s="45"/>
      <c r="IH22" s="45"/>
      <c r="II22" s="45"/>
      <c r="IJ22" s="45"/>
      <c r="IK22" s="45"/>
    </row>
    <row r="23" spans="1:245" s="45" customFormat="1" ht="19.05" customHeight="1">
      <c r="A23" s="69">
        <v>3</v>
      </c>
      <c r="B23" s="785" t="s">
        <v>20</v>
      </c>
      <c r="C23" s="72" t="s">
        <v>70</v>
      </c>
      <c r="D23" s="789" t="s">
        <v>27</v>
      </c>
      <c r="E23" s="80">
        <f>COUNTIFS(Table13514520105[[#All],[Sales]],"คุณนิมิต จุ้ยอยู่ทอง",Table13514520105[[#All],[Total 
คอมฯค่าติดตั้ง/ค่าเชื่อมสัญญาณ]],"&gt;1")</f>
        <v>0</v>
      </c>
      <c r="F23" s="75">
        <f>SUMIF(Table13514520105[[#All],[Sales]],"คุณนิมิต จุ้ยอยู่ทอง",Table13514520105[[#All],[Total 
คอมฯค่าติดตั้ง/ค่าเชื่อมสัญญาณ]])</f>
        <v>0</v>
      </c>
      <c r="G23" s="75">
        <f t="shared" si="3"/>
        <v>0</v>
      </c>
      <c r="H23" s="75">
        <f t="shared" si="1"/>
        <v>0</v>
      </c>
      <c r="I23" s="51"/>
      <c r="J23" s="54"/>
    </row>
    <row r="24" spans="1:245" s="45" customFormat="1" ht="19.05" customHeight="1">
      <c r="A24" s="53"/>
      <c r="B24" s="785"/>
      <c r="C24" s="74" t="s">
        <v>71</v>
      </c>
      <c r="D24" s="795"/>
      <c r="E24" s="80">
        <f>COUNTIFS(Table13514520105[[#All],[Sales]],"คุณธวัช มีแสง",Table13514520105[[#All],[Total 
คอมฯค่าติดตั้ง/ค่าเชื่อมสัญญาณ]],"&gt;1")</f>
        <v>0</v>
      </c>
      <c r="F24" s="75">
        <f>SUMIF(Table13514520105[[#All],[Sales]],"คุณธวัช มีแสง",Table13514520105[[#All],[Total 
คอมฯค่าติดตั้ง/ค่าเชื่อมสัญญาณ]])</f>
        <v>0</v>
      </c>
      <c r="G24" s="75">
        <f t="shared" ref="G24:G31" si="4">F24*$G$3</f>
        <v>0</v>
      </c>
      <c r="H24" s="75">
        <f t="shared" ref="H24:H31" si="5">SUM(F24-G24)</f>
        <v>0</v>
      </c>
      <c r="I24" s="51"/>
      <c r="J24" s="54"/>
    </row>
    <row r="25" spans="1:245" s="45" customFormat="1" ht="19.05" customHeight="1">
      <c r="A25" s="53"/>
      <c r="B25" s="785"/>
      <c r="C25" s="74" t="s">
        <v>72</v>
      </c>
      <c r="D25" s="795"/>
      <c r="E25" s="80">
        <f>COUNTIFS(Table13514520105[[#All],[Sales]],"คุณแดง มูลสองแคว",Table13514520105[[#All],[Total 
คอมฯค่าติดตั้ง/ค่าเชื่อมสัญญาณ]],"&gt;1")</f>
        <v>0</v>
      </c>
      <c r="F25" s="75">
        <f>SUMIF(Table13514520105[[#All],[Sales]],"คุณแดง มูลสองแคว",Table13514520105[[#All],[Total 
คอมฯค่าติดตั้ง/ค่าเชื่อมสัญญาณ]])</f>
        <v>0</v>
      </c>
      <c r="G25" s="75">
        <f t="shared" si="4"/>
        <v>0</v>
      </c>
      <c r="H25" s="75">
        <f t="shared" si="5"/>
        <v>0</v>
      </c>
      <c r="I25" s="51"/>
      <c r="J25" s="54"/>
    </row>
    <row r="26" spans="1:245" s="45" customFormat="1" ht="19.05" customHeight="1">
      <c r="A26" s="53"/>
      <c r="B26" s="786"/>
      <c r="C26" s="136" t="s">
        <v>73</v>
      </c>
      <c r="D26" s="795"/>
      <c r="E26" s="80">
        <f>COUNTIFS(Table13514520105[[#All],[Sales]],"คุณนิยนต์ อยู่ทะเล",Table13514520105[[#All],[Total 
คอมฯค่าติดตั้ง/ค่าเชื่อมสัญญาณ]],"&gt;1")</f>
        <v>0</v>
      </c>
      <c r="F26" s="75">
        <f>SUMIF(Table13514520105[[#All],[Sales]],"คุณนิยนต์ อยู่ทะเล",Table13514520105[[#All],[Total 
คอมฯค่าติดตั้ง/ค่าเชื่อมสัญญาณ]])</f>
        <v>0</v>
      </c>
      <c r="G26" s="75">
        <f t="shared" si="4"/>
        <v>0</v>
      </c>
      <c r="H26" s="75">
        <f t="shared" si="5"/>
        <v>0</v>
      </c>
      <c r="I26" s="51"/>
      <c r="J26" s="54"/>
    </row>
    <row r="27" spans="1:245" s="45" customFormat="1" ht="19.05" customHeight="1">
      <c r="A27" s="53"/>
      <c r="B27" s="787"/>
      <c r="C27" s="142" t="s">
        <v>67</v>
      </c>
      <c r="D27" s="795"/>
      <c r="E27" s="80">
        <f>COUNTIFS(Table13514520105[[#All],[Sales]],"คุณรุ่งอรุณ อินบุญรอด",Table13514520105[[#All],[Total 
คอมฯค่าติดตั้ง/ค่าเชื่อมสัญญาณ]],"&gt;1")</f>
        <v>0</v>
      </c>
      <c r="F27" s="75">
        <f>SUMIF(Table13514520105[[#All],[Sales]],"คุณรุ่งอรุณ อินบุญรอด",Table13514520105[[#All],[Total 
คอมฯค่าติดตั้ง/ค่าเชื่อมสัญญาณ]])</f>
        <v>0</v>
      </c>
      <c r="G27" s="75">
        <f t="shared" si="4"/>
        <v>0</v>
      </c>
      <c r="H27" s="75">
        <f t="shared" si="5"/>
        <v>0</v>
      </c>
      <c r="I27" s="51"/>
      <c r="J27" s="54"/>
    </row>
    <row r="28" spans="1:245" s="45" customFormat="1" ht="19.05" customHeight="1">
      <c r="A28" s="53"/>
      <c r="B28" s="788"/>
      <c r="C28" s="191" t="s">
        <v>68</v>
      </c>
      <c r="D28" s="795"/>
      <c r="E28" s="80">
        <f>COUNTIFS(Table13514520105[[#All],[Sales]],"คุณศศินาถ จุ้ยอยู่ทอง",Table13514520105[[#All],[Total 
คอมฯค่าติดตั้ง/ค่าเชื่อมสัญญาณ]],"&gt;1")</f>
        <v>0</v>
      </c>
      <c r="F28" s="75">
        <f>SUMIF(Table13514520105[[#All],[Sales]],"คุณศศินาถ จุ้ยอยู่ทอง",Table13514520105[[#All],[Total 
คอมฯค่าติดตั้ง/ค่าเชื่อมสัญญาณ]])</f>
        <v>0</v>
      </c>
      <c r="G28" s="75">
        <f t="shared" si="4"/>
        <v>0</v>
      </c>
      <c r="H28" s="75">
        <f t="shared" si="5"/>
        <v>0</v>
      </c>
      <c r="I28" s="51"/>
      <c r="J28" s="54"/>
    </row>
    <row r="29" spans="1:245" s="45" customFormat="1" ht="19.05" customHeight="1">
      <c r="A29" s="53"/>
      <c r="B29" s="788"/>
      <c r="C29" s="191" t="s">
        <v>90</v>
      </c>
      <c r="D29" s="795"/>
      <c r="E29" s="80">
        <f>COUNTIFS(Table13514520105[[#All],[Sales]],"คุณณรงศ์ศักย์ เหล่ารัตนเวช",Table13514520105[[#All],[Total 
คอมฯค่าติดตั้ง/ค่าเชื่อมสัญญาณ]],"&gt;1")</f>
        <v>0</v>
      </c>
      <c r="F29" s="75">
        <f>SUMIF(Table13514520105[[#All],[Sales]],"คุณณรงศ์ศักย์ เหล่ารัตนเวช",Table13514520105[[#All],[Total 
คอมฯค่าติดตั้ง/ค่าเชื่อมสัญญาณ]])</f>
        <v>0</v>
      </c>
      <c r="G29" s="75">
        <f t="shared" si="4"/>
        <v>0</v>
      </c>
      <c r="H29" s="75">
        <f t="shared" si="5"/>
        <v>0</v>
      </c>
      <c r="I29" s="51"/>
      <c r="J29" s="54"/>
    </row>
    <row r="30" spans="1:245" s="45" customFormat="1" ht="19.05" customHeight="1">
      <c r="A30" s="53"/>
      <c r="B30" s="788"/>
      <c r="C30" s="190" t="s">
        <v>130</v>
      </c>
      <c r="D30" s="795"/>
      <c r="E30" s="80">
        <f>COUNTIFS(Table13514520105[[#All],[Sales]],"คุณชนัฐฎา สนคะมี",Table13514520105[[#All],[Total 
คอมฯค่าติดตั้ง/ค่าเชื่อมสัญญาณ]],"&gt;1")</f>
        <v>0</v>
      </c>
      <c r="F30" s="75">
        <f>SUMIF(Table13514520105[[#All],[Sales]],"คุณชนัฐฎา สนคะมี",Table13514520105[[#All],[Total 
คอมฯค่าติดตั้ง/ค่าเชื่อมสัญญาณ]])</f>
        <v>0</v>
      </c>
      <c r="G30" s="75">
        <f>F30*$G$3</f>
        <v>0</v>
      </c>
      <c r="H30" s="75">
        <f>SUM(F30-G30)</f>
        <v>0</v>
      </c>
      <c r="I30" s="51"/>
      <c r="J30" s="54"/>
    </row>
    <row r="31" spans="1:245" s="45" customFormat="1" ht="19.05" customHeight="1">
      <c r="A31" s="53"/>
      <c r="B31" s="785"/>
      <c r="C31" s="119" t="s">
        <v>69</v>
      </c>
      <c r="D31" s="796"/>
      <c r="E31" s="80">
        <f>COUNTIFS(Table13514520105[[#All],[Sales]],"คุณธัญลักษณ์ หมื่นหลุบกุง",Table13514520105[[#All],[Total 
คอมฯค่าติดตั้ง/ค่าเชื่อมสัญญาณ]],"&gt;1")</f>
        <v>0</v>
      </c>
      <c r="F31" s="75">
        <f>SUMIF(Table13514520105[[#All],[Sales]],"คุณธัญลักษณ์ หมื่นหลุบกุง",Table13514520105[[#All],[Total 
คอมฯค่าติดตั้ง/ค่าเชื่อมสัญญาณ]])</f>
        <v>0</v>
      </c>
      <c r="G31" s="75">
        <f t="shared" si="4"/>
        <v>0</v>
      </c>
      <c r="H31" s="75">
        <f t="shared" si="5"/>
        <v>0</v>
      </c>
      <c r="I31" s="54"/>
      <c r="J31" s="54"/>
    </row>
    <row r="32" spans="1:245" s="45" customFormat="1" ht="21" customHeight="1">
      <c r="A32" s="55"/>
      <c r="B32" s="56" t="s">
        <v>12</v>
      </c>
      <c r="C32" s="56"/>
      <c r="D32" s="56"/>
      <c r="E32" s="57">
        <f>SUM(E5:E31)</f>
        <v>4</v>
      </c>
      <c r="F32" s="57">
        <f>SUM(F5:F31)</f>
        <v>18542.060000000001</v>
      </c>
      <c r="G32" s="57">
        <f>SUM(G5:G31)</f>
        <v>0</v>
      </c>
      <c r="H32" s="71">
        <f>SUM(H5:H31)</f>
        <v>18542.060000000001</v>
      </c>
      <c r="I32" s="54"/>
      <c r="J32" s="54"/>
    </row>
    <row r="33" spans="2:13" s="45" customFormat="1" ht="13.95" customHeight="1">
      <c r="B33" s="81"/>
      <c r="C33" s="81"/>
      <c r="D33" s="81"/>
      <c r="E33" s="82"/>
      <c r="F33" s="82"/>
      <c r="G33" s="82"/>
      <c r="H33" s="84"/>
      <c r="I33" s="82"/>
    </row>
    <row r="34" spans="2:13" s="45" customFormat="1" ht="7.95" customHeight="1">
      <c r="B34" s="81"/>
      <c r="C34" s="81"/>
      <c r="D34" s="81"/>
      <c r="E34" s="82"/>
      <c r="F34" s="82"/>
      <c r="G34" s="82"/>
      <c r="H34" s="82"/>
      <c r="I34" s="82"/>
    </row>
    <row r="35" spans="2:13" ht="19.95" customHeight="1">
      <c r="B35" s="777" t="s">
        <v>93</v>
      </c>
      <c r="C35" s="777"/>
      <c r="D35" s="777"/>
      <c r="E35" s="777"/>
      <c r="F35" s="777"/>
      <c r="G35" s="777"/>
      <c r="H35" s="777"/>
      <c r="I35" s="777"/>
      <c r="J35" s="777"/>
      <c r="K35" s="777"/>
      <c r="L35" s="777"/>
      <c r="M35" s="777"/>
    </row>
    <row r="36" spans="2:13" s="45" customFormat="1" ht="14.55" customHeight="1">
      <c r="B36" s="777"/>
      <c r="C36" s="777"/>
      <c r="D36" s="777"/>
      <c r="E36" s="777"/>
      <c r="F36" s="777"/>
      <c r="G36" s="777"/>
      <c r="H36" s="777"/>
      <c r="I36" s="777"/>
      <c r="J36" s="777"/>
      <c r="K36" s="777"/>
      <c r="L36" s="777"/>
      <c r="M36" s="777"/>
    </row>
    <row r="37" spans="2:13" s="201" customFormat="1" ht="70.2" customHeight="1">
      <c r="B37" s="214" t="s">
        <v>41</v>
      </c>
      <c r="C37" s="214" t="s">
        <v>13</v>
      </c>
      <c r="D37" s="214" t="s">
        <v>35</v>
      </c>
      <c r="E37" s="215" t="s">
        <v>33</v>
      </c>
      <c r="F37" s="215" t="s">
        <v>15</v>
      </c>
      <c r="G37" s="215" t="s">
        <v>34</v>
      </c>
      <c r="H37" s="216" t="s">
        <v>32</v>
      </c>
      <c r="I37" s="214" t="s">
        <v>30</v>
      </c>
      <c r="J37" s="216" t="s">
        <v>57</v>
      </c>
      <c r="K37" s="214" t="s">
        <v>58</v>
      </c>
      <c r="L37" s="217" t="s">
        <v>76</v>
      </c>
      <c r="M37" s="210" t="s">
        <v>77</v>
      </c>
    </row>
    <row r="38" spans="2:13" ht="19.95" customHeight="1">
      <c r="B38" s="196" t="s">
        <v>23</v>
      </c>
      <c r="C38" s="193" t="s">
        <v>78</v>
      </c>
      <c r="D38" s="197" t="s">
        <v>70</v>
      </c>
      <c r="E38" s="222">
        <f t="shared" ref="E38:E45" si="6">SUM(G65)</f>
        <v>3406.5450000000001</v>
      </c>
      <c r="F38" s="223">
        <v>0</v>
      </c>
      <c r="G38" s="224">
        <f>SUM(E38-F38)</f>
        <v>3406.5450000000001</v>
      </c>
      <c r="H38" s="198">
        <v>0</v>
      </c>
      <c r="I38" s="225">
        <f>SUM(G38-H38)</f>
        <v>3406.5450000000001</v>
      </c>
      <c r="J38" s="226">
        <f>I38*3%</f>
        <v>102.19635</v>
      </c>
      <c r="K38" s="227">
        <f>I38-J38</f>
        <v>3304.3486499999999</v>
      </c>
      <c r="L38" s="195" t="s">
        <v>88</v>
      </c>
      <c r="M38" s="173" t="s">
        <v>81</v>
      </c>
    </row>
    <row r="39" spans="2:13" ht="19.95" customHeight="1">
      <c r="B39" s="196"/>
      <c r="C39" s="193" t="s">
        <v>78</v>
      </c>
      <c r="D39" s="197" t="s">
        <v>71</v>
      </c>
      <c r="E39" s="222">
        <f t="shared" si="6"/>
        <v>0</v>
      </c>
      <c r="F39" s="223"/>
      <c r="G39" s="224">
        <f t="shared" ref="G39:G49" si="7">SUM(E39-F39)</f>
        <v>0</v>
      </c>
      <c r="H39" s="198">
        <v>0</v>
      </c>
      <c r="I39" s="225">
        <f t="shared" ref="I39:I49" si="8">SUM(G39-H39)</f>
        <v>0</v>
      </c>
      <c r="J39" s="226">
        <f t="shared" ref="J39:J49" si="9">I39*3%</f>
        <v>0</v>
      </c>
      <c r="K39" s="227">
        <f t="shared" ref="K39:K49" si="10">I39-J39</f>
        <v>0</v>
      </c>
      <c r="L39" s="195" t="s">
        <v>88</v>
      </c>
      <c r="M39" s="173" t="s">
        <v>82</v>
      </c>
    </row>
    <row r="40" spans="2:13" ht="19.95" customHeight="1">
      <c r="B40" s="196"/>
      <c r="C40" s="193" t="s">
        <v>78</v>
      </c>
      <c r="D40" s="197" t="s">
        <v>72</v>
      </c>
      <c r="E40" s="228">
        <f t="shared" si="6"/>
        <v>3000</v>
      </c>
      <c r="F40" s="224">
        <v>0</v>
      </c>
      <c r="G40" s="224">
        <f t="shared" ref="G40:G45" si="11">SUM(E40-F40)</f>
        <v>3000</v>
      </c>
      <c r="H40" s="194">
        <v>0</v>
      </c>
      <c r="I40" s="225">
        <f t="shared" ref="I40:I45" si="12">SUM(G40-H40)</f>
        <v>3000</v>
      </c>
      <c r="J40" s="226">
        <f t="shared" ref="J40:J45" si="13">I40*3%</f>
        <v>90</v>
      </c>
      <c r="K40" s="227">
        <f t="shared" ref="K40:K45" si="14">I40-J40</f>
        <v>2910</v>
      </c>
      <c r="L40" s="195" t="s">
        <v>88</v>
      </c>
      <c r="M40" s="173" t="s">
        <v>83</v>
      </c>
    </row>
    <row r="41" spans="2:13" ht="19.95" customHeight="1">
      <c r="B41" s="196"/>
      <c r="C41" s="193" t="s">
        <v>17</v>
      </c>
      <c r="D41" s="197" t="s">
        <v>73</v>
      </c>
      <c r="E41" s="228">
        <f t="shared" si="6"/>
        <v>0</v>
      </c>
      <c r="F41" s="224">
        <v>0</v>
      </c>
      <c r="G41" s="224">
        <f t="shared" si="11"/>
        <v>0</v>
      </c>
      <c r="H41" s="194">
        <v>0</v>
      </c>
      <c r="I41" s="225">
        <f t="shared" si="12"/>
        <v>0</v>
      </c>
      <c r="J41" s="226">
        <f t="shared" si="13"/>
        <v>0</v>
      </c>
      <c r="K41" s="227">
        <f t="shared" si="14"/>
        <v>0</v>
      </c>
      <c r="L41" s="195" t="s">
        <v>88</v>
      </c>
      <c r="M41" s="173" t="s">
        <v>84</v>
      </c>
    </row>
    <row r="42" spans="2:13" ht="19.95" customHeight="1">
      <c r="B42" s="196"/>
      <c r="C42" s="193" t="s">
        <v>78</v>
      </c>
      <c r="D42" s="197" t="s">
        <v>67</v>
      </c>
      <c r="E42" s="228">
        <f t="shared" si="6"/>
        <v>2625</v>
      </c>
      <c r="F42" s="224">
        <v>0</v>
      </c>
      <c r="G42" s="224">
        <f t="shared" si="11"/>
        <v>2625</v>
      </c>
      <c r="H42" s="194">
        <v>0</v>
      </c>
      <c r="I42" s="225">
        <f t="shared" si="12"/>
        <v>2625</v>
      </c>
      <c r="J42" s="226">
        <f t="shared" si="13"/>
        <v>78.75</v>
      </c>
      <c r="K42" s="227">
        <f t="shared" si="14"/>
        <v>2546.25</v>
      </c>
      <c r="L42" s="195" t="s">
        <v>88</v>
      </c>
      <c r="M42" s="173" t="s">
        <v>85</v>
      </c>
    </row>
    <row r="43" spans="2:13" ht="19.95" customHeight="1">
      <c r="B43" s="196"/>
      <c r="C43" s="193" t="s">
        <v>78</v>
      </c>
      <c r="D43" s="197" t="s">
        <v>68</v>
      </c>
      <c r="E43" s="228">
        <f t="shared" si="6"/>
        <v>4875</v>
      </c>
      <c r="F43" s="224">
        <v>0</v>
      </c>
      <c r="G43" s="224">
        <f t="shared" si="11"/>
        <v>4875</v>
      </c>
      <c r="H43" s="194">
        <v>0</v>
      </c>
      <c r="I43" s="225">
        <f t="shared" si="12"/>
        <v>4875</v>
      </c>
      <c r="J43" s="226">
        <f t="shared" si="13"/>
        <v>146.25</v>
      </c>
      <c r="K43" s="227">
        <f t="shared" si="14"/>
        <v>4728.75</v>
      </c>
      <c r="L43" s="195" t="s">
        <v>88</v>
      </c>
      <c r="M43" s="173" t="s">
        <v>86</v>
      </c>
    </row>
    <row r="44" spans="2:13" ht="19.95" customHeight="1">
      <c r="B44" s="196"/>
      <c r="C44" s="193" t="s">
        <v>78</v>
      </c>
      <c r="D44" s="197" t="s">
        <v>90</v>
      </c>
      <c r="E44" s="228">
        <f t="shared" si="6"/>
        <v>0</v>
      </c>
      <c r="F44" s="224">
        <v>0</v>
      </c>
      <c r="G44" s="224">
        <f t="shared" si="11"/>
        <v>0</v>
      </c>
      <c r="H44" s="194">
        <v>0</v>
      </c>
      <c r="I44" s="225">
        <f t="shared" si="12"/>
        <v>0</v>
      </c>
      <c r="J44" s="226">
        <f t="shared" si="13"/>
        <v>0</v>
      </c>
      <c r="K44" s="227">
        <f t="shared" si="14"/>
        <v>0</v>
      </c>
      <c r="L44" s="195" t="s">
        <v>88</v>
      </c>
      <c r="M44" s="173" t="s">
        <v>91</v>
      </c>
    </row>
    <row r="45" spans="2:13" ht="19.95" customHeight="1">
      <c r="B45" s="196"/>
      <c r="C45" s="193" t="s">
        <v>17</v>
      </c>
      <c r="D45" s="197" t="s">
        <v>130</v>
      </c>
      <c r="E45" s="228">
        <f t="shared" si="6"/>
        <v>0</v>
      </c>
      <c r="F45" s="224">
        <v>0</v>
      </c>
      <c r="G45" s="224">
        <f t="shared" si="11"/>
        <v>0</v>
      </c>
      <c r="H45" s="194">
        <v>0</v>
      </c>
      <c r="I45" s="225">
        <f t="shared" si="12"/>
        <v>0</v>
      </c>
      <c r="J45" s="226">
        <f t="shared" si="13"/>
        <v>0</v>
      </c>
      <c r="K45" s="227">
        <f t="shared" si="14"/>
        <v>0</v>
      </c>
      <c r="L45" s="172" t="s">
        <v>88</v>
      </c>
      <c r="M45" s="200" t="s">
        <v>131</v>
      </c>
    </row>
    <row r="46" spans="2:13" ht="19.95" customHeight="1">
      <c r="B46" s="196"/>
      <c r="C46" s="193" t="s">
        <v>78</v>
      </c>
      <c r="D46" s="197" t="s">
        <v>69</v>
      </c>
      <c r="E46" s="228">
        <f>SUM(G73)</f>
        <v>0</v>
      </c>
      <c r="F46" s="224">
        <v>0</v>
      </c>
      <c r="G46" s="224">
        <f t="shared" si="7"/>
        <v>0</v>
      </c>
      <c r="H46" s="194">
        <v>0</v>
      </c>
      <c r="I46" s="225">
        <f t="shared" si="8"/>
        <v>0</v>
      </c>
      <c r="J46" s="226">
        <f t="shared" si="9"/>
        <v>0</v>
      </c>
      <c r="K46" s="227">
        <f t="shared" si="10"/>
        <v>0</v>
      </c>
      <c r="L46" s="195" t="s">
        <v>88</v>
      </c>
      <c r="M46" s="174" t="s">
        <v>87</v>
      </c>
    </row>
    <row r="47" spans="2:13" ht="19.95" customHeight="1">
      <c r="B47" s="196" t="s">
        <v>60</v>
      </c>
      <c r="C47" s="193" t="s">
        <v>78</v>
      </c>
      <c r="D47" s="197" t="s">
        <v>71</v>
      </c>
      <c r="E47" s="228">
        <f>SUM(G74)</f>
        <v>927.10300000000007</v>
      </c>
      <c r="F47" s="224">
        <v>0</v>
      </c>
      <c r="G47" s="224">
        <f t="shared" si="7"/>
        <v>927.10300000000007</v>
      </c>
      <c r="H47" s="194">
        <v>0</v>
      </c>
      <c r="I47" s="225">
        <f t="shared" si="8"/>
        <v>927.10300000000007</v>
      </c>
      <c r="J47" s="226">
        <f t="shared" si="9"/>
        <v>27.813090000000003</v>
      </c>
      <c r="K47" s="227">
        <f t="shared" si="10"/>
        <v>899.28991000000008</v>
      </c>
      <c r="L47" s="195" t="s">
        <v>88</v>
      </c>
      <c r="M47" s="172" t="s">
        <v>82</v>
      </c>
    </row>
    <row r="48" spans="2:13" ht="19.95" customHeight="1">
      <c r="B48" s="196" t="s">
        <v>24</v>
      </c>
      <c r="C48" s="193" t="s">
        <v>61</v>
      </c>
      <c r="D48" s="197" t="s">
        <v>97</v>
      </c>
      <c r="E48" s="228">
        <f>SUM(G75)</f>
        <v>2225.0472</v>
      </c>
      <c r="F48" s="224">
        <v>0</v>
      </c>
      <c r="G48" s="224">
        <f t="shared" si="7"/>
        <v>2225.0472</v>
      </c>
      <c r="H48" s="194">
        <v>0</v>
      </c>
      <c r="I48" s="225">
        <f t="shared" si="8"/>
        <v>2225.0472</v>
      </c>
      <c r="J48" s="226">
        <f t="shared" si="9"/>
        <v>66.751415999999992</v>
      </c>
      <c r="K48" s="227">
        <f t="shared" si="10"/>
        <v>2158.2957839999999</v>
      </c>
      <c r="L48" s="195" t="s">
        <v>88</v>
      </c>
      <c r="M48" s="172" t="s">
        <v>98</v>
      </c>
    </row>
    <row r="49" spans="1:13" ht="19.95" customHeight="1">
      <c r="B49" s="196" t="s">
        <v>25</v>
      </c>
      <c r="C49" s="193" t="s">
        <v>61</v>
      </c>
      <c r="D49" s="197" t="s">
        <v>79</v>
      </c>
      <c r="E49" s="228">
        <f>SUM(G76)</f>
        <v>1483.3648000000001</v>
      </c>
      <c r="F49" s="224">
        <v>0</v>
      </c>
      <c r="G49" s="224">
        <f t="shared" si="7"/>
        <v>1483.3648000000001</v>
      </c>
      <c r="H49" s="194">
        <v>0</v>
      </c>
      <c r="I49" s="225">
        <f t="shared" si="8"/>
        <v>1483.3648000000001</v>
      </c>
      <c r="J49" s="226">
        <f t="shared" si="9"/>
        <v>44.500943999999997</v>
      </c>
      <c r="K49" s="227">
        <f t="shared" si="10"/>
        <v>1438.8638560000002</v>
      </c>
      <c r="L49" s="195" t="s">
        <v>88</v>
      </c>
      <c r="M49" s="172" t="s">
        <v>89</v>
      </c>
    </row>
    <row r="50" spans="1:13" ht="23.4" customHeight="1">
      <c r="B50" s="199"/>
      <c r="C50" s="200"/>
      <c r="D50" s="229"/>
      <c r="E50" s="230"/>
      <c r="F50" s="223"/>
      <c r="G50" s="231">
        <f>SUM(G38:G49)</f>
        <v>18542.060000000001</v>
      </c>
      <c r="H50" s="231">
        <f>SUM(H38:H49)</f>
        <v>0</v>
      </c>
      <c r="I50" s="232">
        <f>SUM(I38:I49)</f>
        <v>18542.060000000001</v>
      </c>
      <c r="J50" s="231">
        <f>SUM(J38:J49)</f>
        <v>556.26179999999999</v>
      </c>
      <c r="K50" s="232">
        <f>SUM(K38:K49)</f>
        <v>17985.798200000001</v>
      </c>
      <c r="L50" s="233"/>
      <c r="M50" s="233"/>
    </row>
    <row r="51" spans="1:13" ht="15.6">
      <c r="B51" s="61"/>
      <c r="C51" s="61"/>
      <c r="D51" s="62"/>
      <c r="E51" s="184"/>
      <c r="F51" s="185"/>
      <c r="G51" s="185"/>
      <c r="H51" s="186"/>
      <c r="I51" s="58"/>
      <c r="J51" s="58"/>
    </row>
    <row r="52" spans="1:13" ht="15.6">
      <c r="B52" s="61"/>
      <c r="C52" s="61"/>
      <c r="D52" s="62"/>
      <c r="E52" s="184"/>
      <c r="F52" s="185"/>
      <c r="G52" s="185"/>
      <c r="H52" s="185"/>
      <c r="I52" s="185"/>
      <c r="J52" s="58"/>
    </row>
    <row r="53" spans="1:13" s="175" customFormat="1" ht="14.55" customHeight="1">
      <c r="E53" s="187"/>
      <c r="F53" s="187"/>
      <c r="G53" s="187"/>
      <c r="H53" s="187"/>
      <c r="I53" s="58"/>
      <c r="J53" s="58"/>
      <c r="K53" s="58"/>
      <c r="L53" s="58"/>
      <c r="M53" s="58"/>
    </row>
    <row r="54" spans="1:13" ht="13.8">
      <c r="E54" s="188"/>
      <c r="F54" s="188"/>
      <c r="G54" s="188"/>
      <c r="H54" s="188"/>
      <c r="I54" s="58"/>
      <c r="J54" s="58"/>
    </row>
    <row r="55" spans="1:13" ht="13.8">
      <c r="E55" s="188"/>
      <c r="F55" s="188"/>
      <c r="G55" s="188"/>
      <c r="H55" s="188"/>
      <c r="I55" s="58"/>
      <c r="J55" s="58"/>
    </row>
    <row r="56" spans="1:13" ht="13.8">
      <c r="E56" s="188"/>
      <c r="F56" s="188"/>
      <c r="G56" s="188"/>
      <c r="H56" s="188"/>
      <c r="I56" s="58"/>
      <c r="J56" s="58"/>
    </row>
    <row r="57" spans="1:13" ht="13.8">
      <c r="E57" s="188"/>
      <c r="F57" s="188"/>
      <c r="G57" s="188"/>
      <c r="H57" s="188"/>
      <c r="I57" s="58"/>
      <c r="J57" s="58"/>
    </row>
    <row r="58" spans="1:13" ht="13.8">
      <c r="A58" s="64"/>
      <c r="B58" s="65"/>
      <c r="C58" s="65"/>
      <c r="E58" s="66"/>
      <c r="F58" s="58"/>
      <c r="G58" s="58"/>
      <c r="H58" s="87"/>
      <c r="I58" s="87"/>
      <c r="J58" s="58"/>
    </row>
    <row r="59" spans="1:13" s="45" customFormat="1" ht="13.8">
      <c r="E59" s="44"/>
      <c r="F59" s="44"/>
      <c r="G59" s="44"/>
      <c r="H59" s="87"/>
      <c r="I59" s="87"/>
      <c r="J59" s="58"/>
      <c r="K59" s="58"/>
    </row>
    <row r="60" spans="1:13" s="45" customFormat="1" ht="13.8">
      <c r="E60" s="44"/>
      <c r="F60" s="44"/>
      <c r="G60" s="44"/>
      <c r="H60" s="87"/>
      <c r="I60" s="87"/>
      <c r="J60" s="58"/>
      <c r="K60" s="58"/>
    </row>
    <row r="61" spans="1:13" s="45" customFormat="1" ht="13.8">
      <c r="E61" s="44"/>
      <c r="F61" s="44"/>
      <c r="G61" s="44"/>
      <c r="H61" s="87"/>
      <c r="I61" s="87"/>
      <c r="J61" s="58"/>
      <c r="K61" s="58"/>
    </row>
    <row r="62" spans="1:13" s="45" customFormat="1" ht="13.8" hidden="1">
      <c r="E62" s="44"/>
      <c r="F62" s="44"/>
      <c r="G62" s="44"/>
      <c r="H62" s="87"/>
      <c r="I62" s="87"/>
      <c r="J62" s="58"/>
      <c r="K62" s="58"/>
    </row>
    <row r="63" spans="1:13" ht="19.95" hidden="1" customHeight="1">
      <c r="B63" s="211" t="s">
        <v>80</v>
      </c>
      <c r="C63" s="212"/>
      <c r="D63" s="212"/>
      <c r="E63" s="212"/>
      <c r="F63" s="212"/>
      <c r="G63" s="213"/>
      <c r="H63" s="87"/>
      <c r="I63" s="87"/>
      <c r="J63" s="58"/>
    </row>
    <row r="64" spans="1:13" ht="19.95" hidden="1" customHeight="1">
      <c r="B64" s="85" t="s">
        <v>41</v>
      </c>
      <c r="C64" s="85" t="s">
        <v>13</v>
      </c>
      <c r="D64" s="85" t="s">
        <v>14</v>
      </c>
      <c r="E64" s="86" t="s">
        <v>22</v>
      </c>
      <c r="F64" s="86" t="s">
        <v>15</v>
      </c>
      <c r="G64" s="134" t="s">
        <v>16</v>
      </c>
      <c r="H64" s="87"/>
      <c r="I64" s="87"/>
      <c r="J64" s="58"/>
    </row>
    <row r="65" spans="2:10" ht="19.95" hidden="1" customHeight="1">
      <c r="B65" s="330" t="s">
        <v>23</v>
      </c>
      <c r="C65" s="329" t="s">
        <v>78</v>
      </c>
      <c r="D65" s="180" t="s">
        <v>70</v>
      </c>
      <c r="E65" s="89">
        <v>0.75</v>
      </c>
      <c r="F65" s="83">
        <v>0</v>
      </c>
      <c r="G65" s="88">
        <f>SUMIF($C4:$C32,"คุณนิมิต จุ้ยอยู่ทอง",$H4:$H32)*E65</f>
        <v>3406.5450000000001</v>
      </c>
      <c r="H65" s="90"/>
      <c r="I65" s="87"/>
      <c r="J65" s="58"/>
    </row>
    <row r="66" spans="2:10" ht="19.95" hidden="1" customHeight="1">
      <c r="B66" s="95"/>
      <c r="C66" s="329" t="s">
        <v>78</v>
      </c>
      <c r="D66" s="180" t="s">
        <v>71</v>
      </c>
      <c r="E66" s="89">
        <v>0.75</v>
      </c>
      <c r="F66" s="83">
        <v>0</v>
      </c>
      <c r="G66" s="88">
        <f>SUMIF($C5:$C33,"คุณธวัช มีแสง",$H5:$H33)*E66</f>
        <v>0</v>
      </c>
      <c r="H66" s="90"/>
      <c r="I66" s="87"/>
      <c r="J66" s="58"/>
    </row>
    <row r="67" spans="2:10" ht="19.95" hidden="1" customHeight="1">
      <c r="B67" s="95"/>
      <c r="C67" s="329" t="s">
        <v>78</v>
      </c>
      <c r="D67" s="180" t="s">
        <v>72</v>
      </c>
      <c r="E67" s="89">
        <v>0.75</v>
      </c>
      <c r="F67" s="83">
        <v>0</v>
      </c>
      <c r="G67" s="88">
        <f>SUMIF($C5:$C32,"คุณแดง มูลสองแคว",$H5:$H32)*E67</f>
        <v>3000</v>
      </c>
      <c r="H67" s="90"/>
      <c r="I67" s="87"/>
      <c r="J67" s="58"/>
    </row>
    <row r="68" spans="2:10" ht="19.95" hidden="1" customHeight="1">
      <c r="B68" s="95"/>
      <c r="C68" s="329" t="s">
        <v>17</v>
      </c>
      <c r="D68" s="181" t="s">
        <v>73</v>
      </c>
      <c r="E68" s="89">
        <v>0.75</v>
      </c>
      <c r="F68" s="83">
        <v>0</v>
      </c>
      <c r="G68" s="88">
        <f>SUMIF($C7:$C35,"คุณนิยนต์ อยู่ทะเล",$H7:$H35)*E68</f>
        <v>0</v>
      </c>
      <c r="H68" s="90"/>
      <c r="I68" s="87"/>
      <c r="J68" s="58"/>
    </row>
    <row r="69" spans="2:10" ht="19.95" hidden="1" customHeight="1">
      <c r="B69" s="95"/>
      <c r="C69" s="329" t="s">
        <v>78</v>
      </c>
      <c r="D69" s="182" t="s">
        <v>67</v>
      </c>
      <c r="E69" s="89">
        <v>0.75</v>
      </c>
      <c r="F69" s="83">
        <v>0</v>
      </c>
      <c r="G69" s="88">
        <f>SUMIF($C8:$C36,"คุณรุ่งอรุณ อินบุญรอด",$H8:$H36)*E69</f>
        <v>2625</v>
      </c>
      <c r="H69" s="90"/>
      <c r="I69" s="87"/>
      <c r="J69" s="58"/>
    </row>
    <row r="70" spans="2:10" ht="19.95" hidden="1" customHeight="1">
      <c r="B70" s="95"/>
      <c r="C70" s="329" t="s">
        <v>78</v>
      </c>
      <c r="D70" s="182" t="s">
        <v>68</v>
      </c>
      <c r="E70" s="89">
        <v>0.75</v>
      </c>
      <c r="F70" s="83">
        <v>0</v>
      </c>
      <c r="G70" s="88">
        <f>SUMIF($C9:$C37,"คุณศศินาถ จุ้ยอยู่ทอง",$H9:$H37)*E70</f>
        <v>4875</v>
      </c>
      <c r="H70" s="90"/>
      <c r="I70" s="87"/>
      <c r="J70" s="58"/>
    </row>
    <row r="71" spans="2:10" ht="19.95" hidden="1" customHeight="1">
      <c r="B71" s="95"/>
      <c r="C71" s="329" t="s">
        <v>78</v>
      </c>
      <c r="D71" s="189" t="s">
        <v>90</v>
      </c>
      <c r="E71" s="89">
        <v>0.75</v>
      </c>
      <c r="F71" s="83">
        <v>0</v>
      </c>
      <c r="G71" s="88">
        <f>SUMIF($C10:$C38,"คุณณรงศ์ศักย์ เหล่ารัตนเวช",$H10:$H38)*E71</f>
        <v>0</v>
      </c>
      <c r="H71" s="90"/>
      <c r="I71" s="87"/>
      <c r="J71" s="58"/>
    </row>
    <row r="72" spans="2:10" ht="19.95" hidden="1" customHeight="1">
      <c r="B72" s="95"/>
      <c r="C72" s="329" t="s">
        <v>17</v>
      </c>
      <c r="D72" s="197" t="s">
        <v>130</v>
      </c>
      <c r="E72" s="89">
        <v>0.75</v>
      </c>
      <c r="F72" s="83">
        <v>0</v>
      </c>
      <c r="G72" s="88">
        <f>SUMIF($C11:$C39,"คุณชนัฐฎา สนคะมี",$H11:$H39)*E72</f>
        <v>0</v>
      </c>
      <c r="H72" s="90"/>
      <c r="I72" s="87"/>
      <c r="J72" s="58"/>
    </row>
    <row r="73" spans="2:10" ht="19.95" hidden="1" customHeight="1">
      <c r="B73" s="94"/>
      <c r="C73" s="329" t="s">
        <v>78</v>
      </c>
      <c r="D73" s="180" t="s">
        <v>69</v>
      </c>
      <c r="E73" s="89">
        <v>0.75</v>
      </c>
      <c r="F73" s="83">
        <v>0</v>
      </c>
      <c r="G73" s="88">
        <f>SUMIF($C11:$C39,"คุณธัญลักษณ์ หมื่นหลุบกุง",$H11:$H39)*E73</f>
        <v>0</v>
      </c>
      <c r="H73" s="90"/>
      <c r="I73" s="87"/>
      <c r="J73" s="58"/>
    </row>
    <row r="74" spans="2:10" ht="19.95" hidden="1" customHeight="1">
      <c r="B74" s="94" t="s">
        <v>60</v>
      </c>
      <c r="C74" s="89" t="s">
        <v>78</v>
      </c>
      <c r="D74" s="180" t="s">
        <v>71</v>
      </c>
      <c r="E74" s="89">
        <v>0.05</v>
      </c>
      <c r="F74" s="83">
        <v>0</v>
      </c>
      <c r="G74" s="88">
        <f>$H$32*E74</f>
        <v>927.10300000000007</v>
      </c>
      <c r="H74" s="87"/>
      <c r="I74" s="87"/>
      <c r="J74" s="58"/>
    </row>
    <row r="75" spans="2:10" ht="19.95" hidden="1" customHeight="1">
      <c r="B75" s="91" t="s">
        <v>24</v>
      </c>
      <c r="C75" s="89" t="s">
        <v>61</v>
      </c>
      <c r="D75" s="180" t="s">
        <v>97</v>
      </c>
      <c r="E75" s="89">
        <v>0.12</v>
      </c>
      <c r="F75" s="83">
        <v>0</v>
      </c>
      <c r="G75" s="88">
        <f>$H$32*E75</f>
        <v>2225.0472</v>
      </c>
      <c r="H75" s="87"/>
      <c r="I75" s="96"/>
      <c r="J75" s="58"/>
    </row>
    <row r="76" spans="2:10" ht="19.95" hidden="1" customHeight="1">
      <c r="B76" s="91" t="s">
        <v>25</v>
      </c>
      <c r="C76" s="89" t="s">
        <v>61</v>
      </c>
      <c r="D76" s="180" t="s">
        <v>79</v>
      </c>
      <c r="E76" s="89">
        <v>0.08</v>
      </c>
      <c r="F76" s="83">
        <v>0</v>
      </c>
      <c r="G76" s="88">
        <f>$H$32*E76</f>
        <v>1483.3648000000001</v>
      </c>
      <c r="H76" s="87"/>
      <c r="I76" s="87"/>
      <c r="J76" s="58"/>
    </row>
    <row r="77" spans="2:10" ht="21" hidden="1" customHeight="1">
      <c r="B77" s="61"/>
      <c r="C77" s="61"/>
      <c r="D77" s="62"/>
      <c r="E77" s="63"/>
      <c r="F77" s="60"/>
      <c r="G77" s="209">
        <f>SUM(G65:G76)</f>
        <v>18542.060000000001</v>
      </c>
      <c r="H77" s="87"/>
      <c r="I77" s="58"/>
      <c r="J77" s="58"/>
    </row>
    <row r="78" spans="2:10" s="45" customFormat="1" ht="13.95" customHeight="1">
      <c r="E78" s="44"/>
      <c r="F78" s="44"/>
      <c r="G78" s="44"/>
      <c r="H78" s="87"/>
      <c r="I78" s="44"/>
    </row>
    <row r="79" spans="2:10" s="45" customFormat="1" ht="14.55" customHeight="1">
      <c r="E79" s="44"/>
      <c r="F79" s="44"/>
      <c r="G79" s="44"/>
      <c r="H79" s="87"/>
      <c r="I79" s="44"/>
    </row>
    <row r="80" spans="2:10" ht="13.8">
      <c r="H80" s="87"/>
    </row>
    <row r="81" spans="8:8" ht="13.95" customHeight="1">
      <c r="H81" s="87"/>
    </row>
    <row r="82" spans="8:8" ht="13.95" customHeight="1"/>
    <row r="83" spans="8:8" ht="13.95" customHeight="1"/>
    <row r="84" spans="8:8" ht="13.8"/>
    <row r="85" spans="8:8" ht="13.8"/>
    <row r="86" spans="8:8" ht="13.8"/>
    <row r="87" spans="8:8" ht="13.8"/>
    <row r="88" spans="8:8" ht="13.8"/>
    <row r="89" spans="8:8" ht="13.8"/>
    <row r="90" spans="8:8" ht="13.8"/>
    <row r="91" spans="8:8" ht="13.8"/>
    <row r="92" spans="8:8" ht="13.8"/>
    <row r="93" spans="8:8" ht="13.8"/>
    <row r="94" spans="8:8" ht="13.8"/>
    <row r="95" spans="8:8" ht="13.8"/>
    <row r="96" spans="8:8" ht="13.8"/>
    <row r="97" ht="13.8"/>
    <row r="98" ht="13.8"/>
    <row r="99" ht="13.8"/>
    <row r="100" ht="13.8"/>
    <row r="101" ht="13.8"/>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8"/>
    <row r="131" ht="13.8"/>
    <row r="132" ht="13.8"/>
    <row r="133" ht="13.8"/>
    <row r="134" ht="13.8"/>
    <row r="135" ht="13.8"/>
    <row r="136" ht="13.8"/>
    <row r="137" ht="13.8"/>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row r="190" ht="13.95" customHeight="1"/>
    <row r="191" ht="13.95" customHeight="1"/>
    <row r="192" ht="13.95" customHeight="1"/>
    <row r="193" ht="13.95" customHeight="1"/>
    <row r="194" ht="13.95" customHeight="1"/>
    <row r="195" ht="13.95" customHeight="1"/>
    <row r="196" ht="13.95" customHeight="1"/>
    <row r="197" ht="13.95" customHeight="1"/>
    <row r="198" ht="13.95" customHeight="1"/>
    <row r="199" ht="13.95" customHeight="1"/>
    <row r="200" ht="13.95" customHeight="1"/>
    <row r="201" ht="13.95" customHeight="1"/>
    <row r="202" ht="13.95" customHeight="1"/>
    <row r="203" ht="13.95" customHeight="1"/>
    <row r="204" ht="13.95" customHeight="1"/>
    <row r="205" ht="13.95" customHeight="1"/>
    <row r="206" ht="13.95" customHeight="1"/>
    <row r="207" ht="13.95" customHeight="1"/>
    <row r="208" ht="13.95" customHeight="1"/>
    <row r="209" ht="13.95" customHeight="1"/>
    <row r="210" ht="13.95" customHeight="1"/>
    <row r="211" ht="13.95" customHeight="1"/>
    <row r="212" ht="13.95" customHeight="1"/>
    <row r="213" ht="13.95" customHeight="1"/>
    <row r="214" ht="13.95" customHeight="1"/>
    <row r="215" ht="13.95" customHeight="1"/>
    <row r="216" ht="13.95" customHeight="1"/>
    <row r="217" ht="13.95" customHeight="1"/>
    <row r="218" ht="13.95" customHeight="1"/>
    <row r="219" ht="13.95" customHeight="1"/>
    <row r="220" ht="13.95" customHeight="1"/>
    <row r="221" ht="13.95" customHeight="1"/>
    <row r="222" ht="13.95" customHeight="1"/>
    <row r="223" ht="13.95" customHeight="1"/>
    <row r="224" ht="13.95" customHeight="1"/>
    <row r="225" ht="13.95" customHeight="1"/>
    <row r="226" ht="13.95" customHeight="1"/>
    <row r="227" ht="13.95" customHeight="1"/>
    <row r="228" ht="13.95" customHeight="1"/>
    <row r="229" ht="13.95" customHeight="1"/>
    <row r="230" ht="13.95" customHeight="1"/>
    <row r="231" ht="13.95" customHeight="1"/>
    <row r="232" ht="13.95" customHeight="1"/>
    <row r="233" ht="13.95" customHeight="1"/>
    <row r="234" ht="13.95" customHeight="1"/>
    <row r="235" ht="13.95" customHeight="1"/>
    <row r="236" ht="13.95" customHeight="1"/>
    <row r="237" ht="13.95" customHeight="1"/>
    <row r="238" ht="13.95" customHeight="1"/>
    <row r="239" ht="13.95" customHeight="1"/>
    <row r="240" ht="13.95" customHeight="1"/>
    <row r="241" ht="13.95" customHeight="1"/>
    <row r="242" ht="13.95" customHeight="1"/>
    <row r="243" ht="13.95" customHeight="1"/>
    <row r="244" ht="13.95" customHeight="1"/>
    <row r="245" ht="13.95" customHeight="1"/>
    <row r="246" ht="13.95" customHeight="1"/>
    <row r="247" ht="13.95" customHeight="1"/>
    <row r="248" ht="13.95" customHeight="1"/>
    <row r="249" ht="13.95" customHeight="1"/>
    <row r="250" ht="13.95" customHeight="1"/>
    <row r="251" ht="13.95" customHeight="1"/>
    <row r="252" ht="13.95" customHeight="1"/>
    <row r="253" ht="13.95" customHeight="1"/>
    <row r="254" ht="13.95" customHeight="1"/>
    <row r="255" ht="13.95" customHeight="1"/>
    <row r="256" ht="13.95" customHeight="1"/>
    <row r="257" ht="13.95" customHeight="1"/>
    <row r="258" ht="13.95" customHeight="1"/>
    <row r="259" ht="13.95" customHeight="1"/>
    <row r="260" ht="13.95" customHeight="1"/>
    <row r="261" ht="13.95" customHeight="1"/>
    <row r="262" ht="13.95" customHeight="1"/>
    <row r="263" ht="13.95" customHeight="1"/>
    <row r="264" ht="13.95" customHeight="1"/>
    <row r="265" ht="13.95" customHeight="1"/>
    <row r="266" ht="13.95" customHeight="1"/>
    <row r="267" ht="13.95" customHeight="1"/>
    <row r="268" ht="13.95" customHeight="1"/>
    <row r="269" ht="13.95" customHeight="1"/>
    <row r="270" ht="13.95" customHeight="1"/>
    <row r="271" ht="13.95" customHeight="1"/>
    <row r="272" ht="13.95" customHeight="1"/>
    <row r="273" ht="13.95" customHeight="1"/>
    <row r="274" ht="13.95" customHeight="1"/>
    <row r="275" ht="13.95" customHeight="1"/>
    <row r="276" ht="13.95" customHeight="1"/>
    <row r="277" ht="13.95" customHeight="1"/>
    <row r="278" ht="13.95" customHeight="1"/>
    <row r="279" ht="13.95" customHeight="1"/>
    <row r="280" ht="13.95" customHeight="1"/>
    <row r="281" ht="13.95" customHeight="1"/>
    <row r="282" ht="13.95" customHeight="1"/>
    <row r="283" ht="13.95" customHeight="1"/>
    <row r="284" ht="13.95" customHeight="1"/>
    <row r="285" ht="13.95" customHeight="1"/>
    <row r="286" ht="13.95" customHeight="1"/>
    <row r="287" ht="13.95" customHeight="1"/>
    <row r="288" ht="13.95" customHeight="1"/>
    <row r="289" ht="13.95" customHeight="1"/>
    <row r="290" ht="13.95" customHeight="1"/>
    <row r="291" ht="13.95" customHeight="1"/>
    <row r="292" ht="13.95" customHeight="1"/>
    <row r="293" ht="13.95" customHeight="1"/>
    <row r="294" ht="13.95" customHeight="1"/>
    <row r="295" ht="13.95" customHeight="1"/>
  </sheetData>
  <mergeCells count="9">
    <mergeCell ref="B35:M36"/>
    <mergeCell ref="A1:H1"/>
    <mergeCell ref="A2:H2"/>
    <mergeCell ref="B5:B13"/>
    <mergeCell ref="B14:B22"/>
    <mergeCell ref="B23:B31"/>
    <mergeCell ref="D5:D13"/>
    <mergeCell ref="D14:D22"/>
    <mergeCell ref="D23:D31"/>
  </mergeCells>
  <printOptions horizontalCentered="1"/>
  <pageMargins left="0.27559055118110198" right="0.196850393700787" top="0.43307086614173201" bottom="0.35433070866141703" header="0.43307086614173201" footer="0"/>
  <pageSetup paperSize="9" scale="50" orientation="landscape" r:id="rId1"/>
  <ignoredErrors>
    <ignoredError sqref="H8 G9:H9 H10 G13:H13 G18:H18 G14:H14 G15:H15 G16:H16 G17:H17 G22:H2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Ref</vt:lpstr>
      <vt:lpstr>ตั้งเบิกคอมฯ  CN</vt:lpstr>
      <vt:lpstr>สรุปยอดเบิก CN</vt:lpstr>
      <vt:lpstr>คอมฯ CBN</vt:lpstr>
      <vt:lpstr>สรุปยอดเบิก CBN</vt:lpstr>
      <vt:lpstr>'คอมฯ CBN'!Print_Area</vt:lpstr>
      <vt:lpstr>'ตั้งเบิกคอมฯ  CN'!Print_Area</vt:lpstr>
      <vt:lpstr>'สรุปยอดเบิก CBN'!Print_Area</vt:lpstr>
      <vt:lpstr>'สรุปยอดเบิก CN'!Print_Area</vt:lpstr>
      <vt:lpstr>'คอมฯ CBN'!Print_Titles</vt:lpstr>
      <vt:lpstr>'ตั้งเบิกคอมฯ  CN'!Print_Titles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Chantrapprn</dc:creator>
  <cp:lastModifiedBy>HQSALE6509NB002</cp:lastModifiedBy>
  <cp:lastPrinted>2025-02-17T06:41:23Z</cp:lastPrinted>
  <dcterms:created xsi:type="dcterms:W3CDTF">2022-04-03T17:11:16Z</dcterms:created>
  <dcterms:modified xsi:type="dcterms:W3CDTF">2025-02-17T06:42:01Z</dcterms:modified>
</cp:coreProperties>
</file>