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defaultThemeVersion="166925"/>
  <mc:AlternateContent xmlns:mc="http://schemas.openxmlformats.org/markup-compatibility/2006">
    <mc:Choice Requires="x15">
      <x15ac:absPath xmlns:x15ac="http://schemas.microsoft.com/office/spreadsheetml/2010/11/ac" url="C:\Users\Admin\Documents\02 งาน Oper Sale\05 Sale commission\03 ตั้งเบิก Sales Commission\รอบ 11-2567\RS\"/>
    </mc:Choice>
  </mc:AlternateContent>
  <xr:revisionPtr revIDLastSave="0" documentId="13_ncr:1_{10DC894C-EAEA-46B1-858A-4FD6716E108A}" xr6:coauthVersionLast="43" xr6:coauthVersionMax="43" xr10:uidLastSave="{00000000-0000-0000-0000-000000000000}"/>
  <bookViews>
    <workbookView xWindow="-108" yWindow="-108" windowWidth="23256" windowHeight="12456" activeTab="1" xr2:uid="{195A0F0A-E35C-4AD4-8EE8-0CFEA0DC919D}"/>
  </bookViews>
  <sheets>
    <sheet name="Ref" sheetId="6" r:id="rId1"/>
    <sheet name="คอมฯ  CN" sheetId="1" r:id="rId2"/>
    <sheet name="สรุปยอดเบิก CN" sheetId="5" r:id="rId3"/>
    <sheet name="คอมฯ CBN" sheetId="2" r:id="rId4"/>
    <sheet name="สรุปยอดเบิก CBN" sheetId="3" r:id="rId5"/>
  </sheets>
  <definedNames>
    <definedName name="_xlnm._FilterDatabase" localSheetId="1" hidden="1">'คอมฯ  CN'!#REF!</definedName>
    <definedName name="_xlnm._FilterDatabase" localSheetId="3" hidden="1">'คอมฯ CBN'!#REF!</definedName>
    <definedName name="_xlnm.Print_Area" localSheetId="1">'คอมฯ  CN'!$A$1:$U$87</definedName>
    <definedName name="_xlnm.Print_Area" localSheetId="3">'คอมฯ CBN'!$A$1:$U$30</definedName>
    <definedName name="_xlnm.Print_Area" localSheetId="4">'สรุปยอดเบิก CBN'!$A$1:$M$58</definedName>
    <definedName name="_xlnm.Print_Area" localSheetId="2">'สรุปยอดเบิก CN'!$A$1:$K$97</definedName>
    <definedName name="_xlnm.Print_Titles" localSheetId="1">'คอมฯ  CN'!$5:$5</definedName>
    <definedName name="_xlnm.Print_Titles" localSheetId="3">'คอมฯ CBN'!$5:$5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72" i="3" l="1"/>
  <c r="E45" i="3" s="1"/>
  <c r="F30" i="3"/>
  <c r="G30" i="3" s="1"/>
  <c r="E30" i="3"/>
  <c r="F22" i="3"/>
  <c r="F20" i="3"/>
  <c r="F21" i="3"/>
  <c r="G21" i="3" s="1"/>
  <c r="E21" i="3"/>
  <c r="F12" i="3"/>
  <c r="E12" i="3"/>
  <c r="G90" i="5"/>
  <c r="E45" i="5" s="1"/>
  <c r="G6" i="5"/>
  <c r="H21" i="5"/>
  <c r="F21" i="5"/>
  <c r="E21" i="5"/>
  <c r="F12" i="5"/>
  <c r="G12" i="5" s="1"/>
  <c r="E12" i="5"/>
  <c r="M12" i="1"/>
  <c r="H30" i="3" l="1"/>
  <c r="H21" i="3"/>
  <c r="G12" i="3"/>
  <c r="H12" i="3" s="1"/>
  <c r="H12" i="5"/>
  <c r="Q18" i="1"/>
  <c r="M18" i="1"/>
  <c r="L18" i="1"/>
  <c r="N18" i="1" s="1"/>
  <c r="I18" i="1"/>
  <c r="Q15" i="1"/>
  <c r="M15" i="1"/>
  <c r="L15" i="1"/>
  <c r="N15" i="1" s="1"/>
  <c r="I15" i="1"/>
  <c r="Q12" i="2"/>
  <c r="M12" i="2"/>
  <c r="N12" i="2" s="1"/>
  <c r="I12" i="2"/>
  <c r="Q9" i="2"/>
  <c r="M9" i="2"/>
  <c r="L9" i="2"/>
  <c r="N9" i="2" s="1"/>
  <c r="I9" i="2"/>
  <c r="R9" i="2" s="1"/>
  <c r="R18" i="1" l="1"/>
  <c r="R15" i="1"/>
  <c r="R12" i="2"/>
  <c r="Q21" i="1"/>
  <c r="M21" i="1"/>
  <c r="L21" i="1"/>
  <c r="N21" i="1" s="1"/>
  <c r="I21" i="1"/>
  <c r="Q12" i="1"/>
  <c r="L12" i="1"/>
  <c r="I12" i="1"/>
  <c r="Q9" i="1"/>
  <c r="M9" i="1"/>
  <c r="L9" i="1"/>
  <c r="N9" i="1" s="1"/>
  <c r="I9" i="1"/>
  <c r="N12" i="1" l="1"/>
  <c r="R21" i="1"/>
  <c r="R12" i="1"/>
  <c r="R9" i="1"/>
  <c r="I18" i="2"/>
  <c r="L18" i="2"/>
  <c r="N18" i="2" s="1"/>
  <c r="M18" i="2"/>
  <c r="Q18" i="2"/>
  <c r="I21" i="2"/>
  <c r="L21" i="2"/>
  <c r="M21" i="2"/>
  <c r="Q21" i="2"/>
  <c r="I24" i="2"/>
  <c r="L24" i="2"/>
  <c r="N24" i="2" s="1"/>
  <c r="M24" i="2"/>
  <c r="Q24" i="2"/>
  <c r="I27" i="2"/>
  <c r="L27" i="2"/>
  <c r="N27" i="2" s="1"/>
  <c r="M27" i="2"/>
  <c r="Q27" i="2"/>
  <c r="F31" i="5"/>
  <c r="H31" i="5" s="1"/>
  <c r="E31" i="5"/>
  <c r="F29" i="5"/>
  <c r="H29" i="5" s="1"/>
  <c r="E29" i="5"/>
  <c r="F27" i="5"/>
  <c r="H27" i="5" s="1"/>
  <c r="E27" i="5"/>
  <c r="F26" i="5"/>
  <c r="H26" i="5" s="1"/>
  <c r="E26" i="5"/>
  <c r="F25" i="5"/>
  <c r="H25" i="5" s="1"/>
  <c r="E25" i="5"/>
  <c r="F22" i="5"/>
  <c r="F20" i="5"/>
  <c r="F18" i="5"/>
  <c r="F17" i="5"/>
  <c r="F16" i="5"/>
  <c r="F31" i="3"/>
  <c r="E31" i="3"/>
  <c r="F29" i="3"/>
  <c r="E29" i="3"/>
  <c r="F26" i="3"/>
  <c r="E26" i="3"/>
  <c r="F25" i="3"/>
  <c r="E25" i="3"/>
  <c r="F17" i="3"/>
  <c r="F16" i="3"/>
  <c r="E14" i="3"/>
  <c r="R27" i="2" l="1"/>
  <c r="R24" i="2"/>
  <c r="N21" i="2"/>
  <c r="R21" i="2" s="1"/>
  <c r="R18" i="2"/>
  <c r="G25" i="3"/>
  <c r="H25" i="3" s="1"/>
  <c r="G26" i="3"/>
  <c r="H26" i="3" s="1"/>
  <c r="G29" i="3"/>
  <c r="H29" i="3" s="1"/>
  <c r="G31" i="3"/>
  <c r="H31" i="3" s="1"/>
  <c r="Q15" i="2" l="1"/>
  <c r="Q6" i="2"/>
  <c r="Q6" i="1"/>
  <c r="E23" i="3" l="1"/>
  <c r="F23" i="3"/>
  <c r="G23" i="3" s="1"/>
  <c r="H23" i="3" s="1"/>
  <c r="E27" i="3"/>
  <c r="F27" i="3"/>
  <c r="G27" i="3" s="1"/>
  <c r="H27" i="3" s="1"/>
  <c r="F24" i="3"/>
  <c r="G24" i="3" s="1"/>
  <c r="H24" i="3" s="1"/>
  <c r="E24" i="3"/>
  <c r="F28" i="5"/>
  <c r="H28" i="5" s="1"/>
  <c r="E28" i="5"/>
  <c r="F28" i="3"/>
  <c r="G28" i="3" s="1"/>
  <c r="H28" i="3" s="1"/>
  <c r="E28" i="3"/>
  <c r="H30" i="2"/>
  <c r="I15" i="2"/>
  <c r="I6" i="2"/>
  <c r="Q72" i="1" l="1"/>
  <c r="M72" i="1"/>
  <c r="L72" i="1"/>
  <c r="I72" i="1"/>
  <c r="Q69" i="1"/>
  <c r="M69" i="1"/>
  <c r="L69" i="1"/>
  <c r="I69" i="1"/>
  <c r="Q66" i="1"/>
  <c r="M66" i="1"/>
  <c r="L66" i="1"/>
  <c r="I66" i="1"/>
  <c r="Q63" i="1"/>
  <c r="M63" i="1"/>
  <c r="L63" i="1"/>
  <c r="N63" i="1" s="1"/>
  <c r="I63" i="1"/>
  <c r="Q60" i="1"/>
  <c r="M60" i="1"/>
  <c r="L60" i="1"/>
  <c r="I60" i="1"/>
  <c r="Q78" i="1"/>
  <c r="M78" i="1"/>
  <c r="L78" i="1"/>
  <c r="N78" i="1" s="1"/>
  <c r="I78" i="1"/>
  <c r="Q75" i="1"/>
  <c r="M75" i="1"/>
  <c r="L75" i="1"/>
  <c r="I75" i="1"/>
  <c r="I84" i="1"/>
  <c r="I81" i="1"/>
  <c r="I57" i="1"/>
  <c r="N75" i="1" l="1"/>
  <c r="N60" i="1"/>
  <c r="N72" i="1"/>
  <c r="R72" i="1" s="1"/>
  <c r="N66" i="1"/>
  <c r="N69" i="1"/>
  <c r="R69" i="1" s="1"/>
  <c r="R75" i="1"/>
  <c r="R66" i="1"/>
  <c r="R63" i="1"/>
  <c r="R78" i="1"/>
  <c r="R60" i="1"/>
  <c r="I48" i="1" l="1"/>
  <c r="I54" i="1"/>
  <c r="I51" i="1"/>
  <c r="I45" i="1"/>
  <c r="I42" i="1"/>
  <c r="I39" i="1"/>
  <c r="I36" i="1"/>
  <c r="I33" i="1"/>
  <c r="I30" i="1"/>
  <c r="I27" i="1"/>
  <c r="I24" i="1"/>
  <c r="I6" i="1"/>
  <c r="H87" i="1"/>
  <c r="F13" i="5"/>
  <c r="Q81" i="1" l="1"/>
  <c r="M81" i="1"/>
  <c r="L81" i="1"/>
  <c r="Q57" i="1"/>
  <c r="M57" i="1"/>
  <c r="L57" i="1"/>
  <c r="Q54" i="1"/>
  <c r="M54" i="1"/>
  <c r="L54" i="1"/>
  <c r="Q51" i="1"/>
  <c r="M51" i="1"/>
  <c r="L51" i="1"/>
  <c r="E22" i="3"/>
  <c r="F13" i="3"/>
  <c r="E13" i="3"/>
  <c r="E20" i="3"/>
  <c r="F11" i="3"/>
  <c r="E11" i="3"/>
  <c r="E19" i="3"/>
  <c r="F10" i="3"/>
  <c r="E10" i="3"/>
  <c r="E18" i="3"/>
  <c r="F9" i="3"/>
  <c r="E9" i="3"/>
  <c r="E17" i="3"/>
  <c r="F8" i="3"/>
  <c r="E8" i="3"/>
  <c r="E16" i="3"/>
  <c r="F7" i="3"/>
  <c r="E7" i="3"/>
  <c r="E15" i="3"/>
  <c r="F6" i="3"/>
  <c r="E6" i="3"/>
  <c r="F5" i="3"/>
  <c r="E5" i="3"/>
  <c r="E20" i="5"/>
  <c r="F11" i="5"/>
  <c r="G11" i="5" s="1"/>
  <c r="H11" i="5" s="1"/>
  <c r="E11" i="5"/>
  <c r="N51" i="1" l="1"/>
  <c r="R51" i="1" s="1"/>
  <c r="N57" i="1"/>
  <c r="R57" i="1" s="1"/>
  <c r="N81" i="1"/>
  <c r="R81" i="1" s="1"/>
  <c r="N54" i="1"/>
  <c r="R54" i="1" s="1"/>
  <c r="G11" i="3"/>
  <c r="H11" i="3" s="1"/>
  <c r="E22" i="5"/>
  <c r="E19" i="5"/>
  <c r="E18" i="5"/>
  <c r="E17" i="5"/>
  <c r="E16" i="5"/>
  <c r="E15" i="5"/>
  <c r="E14" i="5"/>
  <c r="G13" i="5"/>
  <c r="H13" i="5" s="1"/>
  <c r="E13" i="5"/>
  <c r="F10" i="5"/>
  <c r="G10" i="5" s="1"/>
  <c r="H10" i="5" s="1"/>
  <c r="E10" i="5"/>
  <c r="F9" i="5"/>
  <c r="E9" i="5"/>
  <c r="F8" i="5"/>
  <c r="E8" i="5"/>
  <c r="F7" i="5"/>
  <c r="E7" i="5"/>
  <c r="F6" i="5"/>
  <c r="E6" i="5"/>
  <c r="F5" i="5"/>
  <c r="E5" i="5"/>
  <c r="L30" i="1" l="1"/>
  <c r="M30" i="1"/>
  <c r="Q30" i="1"/>
  <c r="N30" i="1" l="1"/>
  <c r="R30" i="1" s="1"/>
  <c r="E24" i="5" l="1"/>
  <c r="F24" i="5"/>
  <c r="G10" i="3" l="1"/>
  <c r="H10" i="3" s="1"/>
  <c r="M48" i="1" l="1"/>
  <c r="M45" i="1"/>
  <c r="M42" i="1"/>
  <c r="F87" i="1"/>
  <c r="Q48" i="1"/>
  <c r="L48" i="1"/>
  <c r="Q45" i="1"/>
  <c r="L45" i="1"/>
  <c r="Q42" i="1"/>
  <c r="L42" i="1"/>
  <c r="N48" i="1" l="1"/>
  <c r="R48" i="1" s="1"/>
  <c r="N45" i="1"/>
  <c r="R45" i="1" s="1"/>
  <c r="N42" i="1"/>
  <c r="R42" i="1" s="1"/>
  <c r="Q84" i="1" l="1"/>
  <c r="M84" i="1"/>
  <c r="L84" i="1"/>
  <c r="Q39" i="1"/>
  <c r="M39" i="1"/>
  <c r="L39" i="1"/>
  <c r="N39" i="1" l="1"/>
  <c r="R39" i="1" s="1"/>
  <c r="N84" i="1"/>
  <c r="R84" i="1" s="1"/>
  <c r="Q36" i="1" l="1"/>
  <c r="M36" i="1"/>
  <c r="L36" i="1"/>
  <c r="Q33" i="1"/>
  <c r="M33" i="1"/>
  <c r="L33" i="1"/>
  <c r="Q27" i="1"/>
  <c r="M27" i="1"/>
  <c r="L27" i="1"/>
  <c r="Q24" i="1"/>
  <c r="M24" i="1"/>
  <c r="L24" i="1"/>
  <c r="N27" i="1" l="1"/>
  <c r="N33" i="1"/>
  <c r="R33" i="1" s="1"/>
  <c r="N36" i="1"/>
  <c r="R36" i="1" s="1"/>
  <c r="N24" i="1"/>
  <c r="R27" i="1" l="1"/>
  <c r="R24" i="1"/>
  <c r="J30" i="2"/>
  <c r="K30" i="2"/>
  <c r="I30" i="2"/>
  <c r="G9" i="5" l="1"/>
  <c r="H9" i="5" s="1"/>
  <c r="G9" i="3"/>
  <c r="H9" i="3" s="1"/>
  <c r="G8" i="5"/>
  <c r="H8" i="5" s="1"/>
  <c r="S87" i="1" l="1"/>
  <c r="U87" i="1"/>
  <c r="T87" i="1"/>
  <c r="S30" i="2"/>
  <c r="T30" i="2"/>
  <c r="H6" i="5" l="1"/>
  <c r="G7" i="5" l="1"/>
  <c r="H7" i="5" s="1"/>
  <c r="G8" i="3"/>
  <c r="H8" i="3" s="1"/>
  <c r="G13" i="3"/>
  <c r="H13" i="3" s="1"/>
  <c r="H50" i="3" l="1"/>
  <c r="J87" i="1" l="1"/>
  <c r="K87" i="1"/>
  <c r="O87" i="1"/>
  <c r="P87" i="1"/>
  <c r="M15" i="2"/>
  <c r="L15" i="2"/>
  <c r="M6" i="2"/>
  <c r="L6" i="2"/>
  <c r="M6" i="1"/>
  <c r="L6" i="1"/>
  <c r="I87" i="1"/>
  <c r="N15" i="2" l="1"/>
  <c r="N6" i="2"/>
  <c r="R6" i="2"/>
  <c r="F19" i="3"/>
  <c r="F18" i="3"/>
  <c r="R15" i="2"/>
  <c r="F15" i="3"/>
  <c r="F23" i="5"/>
  <c r="H23" i="5" s="1"/>
  <c r="E23" i="5"/>
  <c r="N6" i="1"/>
  <c r="L30" i="2"/>
  <c r="M30" i="2"/>
  <c r="H24" i="5"/>
  <c r="Q87" i="1"/>
  <c r="M87" i="1"/>
  <c r="L87" i="1"/>
  <c r="F14" i="3" l="1"/>
  <c r="G20" i="3"/>
  <c r="H20" i="3" s="1"/>
  <c r="G71" i="3" s="1"/>
  <c r="E44" i="3" s="1"/>
  <c r="G44" i="3" s="1"/>
  <c r="I44" i="3" s="1"/>
  <c r="J44" i="3" s="1"/>
  <c r="K44" i="3" s="1"/>
  <c r="F19" i="5"/>
  <c r="F15" i="5"/>
  <c r="R6" i="1"/>
  <c r="F14" i="5"/>
  <c r="F30" i="2"/>
  <c r="H20" i="5" l="1"/>
  <c r="H17" i="5"/>
  <c r="H16" i="5"/>
  <c r="G85" i="5" s="1"/>
  <c r="G86" i="5" l="1"/>
  <c r="G7" i="3"/>
  <c r="H7" i="3" s="1"/>
  <c r="H18" i="5"/>
  <c r="G6" i="3"/>
  <c r="H6" i="3" s="1"/>
  <c r="G5" i="3"/>
  <c r="E32" i="3" l="1"/>
  <c r="H15" i="5"/>
  <c r="G84" i="5" s="1"/>
  <c r="E39" i="5" s="1"/>
  <c r="G18" i="3"/>
  <c r="H18" i="3" s="1"/>
  <c r="G69" i="3" l="1"/>
  <c r="E42" i="3" s="1"/>
  <c r="G42" i="3" s="1"/>
  <c r="I42" i="3" s="1"/>
  <c r="J42" i="3" s="1"/>
  <c r="K42" i="3" s="1"/>
  <c r="G19" i="3"/>
  <c r="H19" i="3" s="1"/>
  <c r="N87" i="1"/>
  <c r="G70" i="3" l="1"/>
  <c r="E43" i="3" s="1"/>
  <c r="G43" i="3" s="1"/>
  <c r="I43" i="3" s="1"/>
  <c r="J43" i="3" s="1"/>
  <c r="K43" i="3" s="1"/>
  <c r="R87" i="1"/>
  <c r="H22" i="5" l="1"/>
  <c r="E32" i="5"/>
  <c r="H19" i="5"/>
  <c r="G88" i="5" l="1"/>
  <c r="G87" i="5"/>
  <c r="E42" i="5" s="1"/>
  <c r="G89" i="5"/>
  <c r="E44" i="5" s="1"/>
  <c r="E41" i="5"/>
  <c r="G41" i="5" s="1"/>
  <c r="I41" i="5" s="1"/>
  <c r="E40" i="5"/>
  <c r="G40" i="5" s="1"/>
  <c r="I40" i="5" s="1"/>
  <c r="G5" i="5"/>
  <c r="H5" i="5" s="1"/>
  <c r="G44" i="5" l="1"/>
  <c r="I44" i="5" s="1"/>
  <c r="G39" i="5"/>
  <c r="I39" i="5" s="1"/>
  <c r="G22" i="3" l="1"/>
  <c r="H22" i="3" s="1"/>
  <c r="R30" i="2"/>
  <c r="G17" i="3"/>
  <c r="H17" i="3" s="1"/>
  <c r="Q30" i="2"/>
  <c r="G42" i="5"/>
  <c r="I42" i="5" s="1"/>
  <c r="G15" i="3"/>
  <c r="H15" i="3" s="1"/>
  <c r="G14" i="3"/>
  <c r="G66" i="3" l="1"/>
  <c r="E39" i="3" s="1"/>
  <c r="G39" i="3" s="1"/>
  <c r="I39" i="3" s="1"/>
  <c r="J39" i="3" s="1"/>
  <c r="K39" i="3" s="1"/>
  <c r="G68" i="3"/>
  <c r="G73" i="3"/>
  <c r="G16" i="3"/>
  <c r="H16" i="3" s="1"/>
  <c r="H14" i="3"/>
  <c r="F32" i="3"/>
  <c r="E46" i="3" l="1"/>
  <c r="G46" i="3" s="1"/>
  <c r="I46" i="3" s="1"/>
  <c r="J46" i="3" s="1"/>
  <c r="K46" i="3" s="1"/>
  <c r="G45" i="3"/>
  <c r="I45" i="3" s="1"/>
  <c r="G67" i="3"/>
  <c r="E40" i="3" s="1"/>
  <c r="G40" i="3" s="1"/>
  <c r="I40" i="3" s="1"/>
  <c r="J40" i="3" s="1"/>
  <c r="K40" i="3" s="1"/>
  <c r="E41" i="3"/>
  <c r="H5" i="3"/>
  <c r="G65" i="3" s="1"/>
  <c r="G32" i="3"/>
  <c r="J45" i="3" l="1"/>
  <c r="K45" i="3" s="1"/>
  <c r="E38" i="3"/>
  <c r="G38" i="3" s="1"/>
  <c r="H32" i="3"/>
  <c r="G74" i="3" l="1"/>
  <c r="E47" i="3" s="1"/>
  <c r="G75" i="3"/>
  <c r="E48" i="3" s="1"/>
  <c r="G48" i="3" s="1"/>
  <c r="I48" i="3" s="1"/>
  <c r="J48" i="3" s="1"/>
  <c r="K48" i="3" s="1"/>
  <c r="G76" i="3"/>
  <c r="E49" i="3" s="1"/>
  <c r="G49" i="3" s="1"/>
  <c r="I49" i="3" s="1"/>
  <c r="J49" i="3" s="1"/>
  <c r="K49" i="3" s="1"/>
  <c r="G32" i="5"/>
  <c r="I38" i="3"/>
  <c r="G41" i="3"/>
  <c r="I41" i="3" s="1"/>
  <c r="J41" i="3" s="1"/>
  <c r="K41" i="3" s="1"/>
  <c r="G77" i="3" l="1"/>
  <c r="J38" i="3"/>
  <c r="F32" i="5"/>
  <c r="G47" i="3"/>
  <c r="H14" i="5"/>
  <c r="G83" i="5" l="1"/>
  <c r="E38" i="5" s="1"/>
  <c r="G91" i="5"/>
  <c r="H32" i="5"/>
  <c r="K38" i="3"/>
  <c r="I47" i="3"/>
  <c r="G50" i="3"/>
  <c r="E46" i="5" l="1"/>
  <c r="G46" i="5" s="1"/>
  <c r="I46" i="5" s="1"/>
  <c r="G45" i="5"/>
  <c r="I45" i="5" s="1"/>
  <c r="G93" i="5"/>
  <c r="E48" i="5" s="1"/>
  <c r="E43" i="5"/>
  <c r="G43" i="5" s="1"/>
  <c r="I43" i="5" s="1"/>
  <c r="J47" i="3"/>
  <c r="J50" i="3" s="1"/>
  <c r="I50" i="3"/>
  <c r="G38" i="5"/>
  <c r="I38" i="5" s="1"/>
  <c r="G94" i="5"/>
  <c r="E49" i="5" s="1"/>
  <c r="G49" i="5" s="1"/>
  <c r="I49" i="5" s="1"/>
  <c r="G92" i="5"/>
  <c r="E47" i="5" s="1"/>
  <c r="G47" i="5" s="1"/>
  <c r="I47" i="5" s="1"/>
  <c r="K47" i="3" l="1"/>
  <c r="G48" i="5"/>
  <c r="I48" i="5" s="1"/>
  <c r="G95" i="5"/>
  <c r="K50" i="3" l="1"/>
  <c r="E50" i="5"/>
  <c r="I50" i="5" l="1"/>
  <c r="G50" i="5"/>
</calcChain>
</file>

<file path=xl/sharedStrings.xml><?xml version="1.0" encoding="utf-8"?>
<sst xmlns="http://schemas.openxmlformats.org/spreadsheetml/2006/main" count="486" uniqueCount="173">
  <si>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</si>
  <si>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</si>
  <si>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</si>
  <si>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</si>
  <si>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</si>
  <si>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</si>
  <si>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</si>
  <si>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</si>
  <si>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</si>
  <si>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</si>
  <si>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</si>
  <si>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</si>
  <si>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</si>
  <si>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</si>
  <si>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</si>
  <si>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</si>
  <si>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</si>
  <si>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</si>
  <si>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</si>
  <si>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</si>
  <si>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</si>
  <si>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</si>
  <si>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</si>
  <si>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</si>
  <si>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</si>
  <si>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</si>
  <si>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</si>
  <si>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</si>
  <si>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</si>
  <si>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</si>
  <si>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</si>
  <si>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</si>
  <si>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</si>
  <si>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</si>
  <si>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</si>
  <si>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</si>
  <si>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คุณรัฏฎิการ์</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</si>
  <si>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</si>
  <si>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</si>
  <si>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</si>
  <si>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</si>
  <si>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</si>
  <si>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</si>
  <si>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</si>
  <si>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</si>
  <si>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</si>
  <si>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</si>
  <si>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</si>
  <si>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</si>
  <si>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</si>
  <si>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Cable DTV + FTTX</t>
  </si>
  <si>
    <t>Cable DTV + Internet ( Hotspot wifi )</t>
  </si>
  <si>
    <t>Cable DTV + Lan to room</t>
  </si>
  <si>
    <t>Cable DTV + Lease Line</t>
  </si>
  <si>
    <t>Cable DTV + WI FI Hospot</t>
  </si>
  <si>
    <t>Cable DTV ขายอุปกรณ์</t>
  </si>
  <si>
    <t>Cable IPTV + FTTX</t>
  </si>
  <si>
    <t>Cable IPTV + Lease Line</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</si>
  <si>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</si>
  <si>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</si>
  <si>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</si>
  <si>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</si>
  <si>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</si>
  <si>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</si>
  <si>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</si>
  <si>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</si>
  <si>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</si>
  <si>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</si>
  <si>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คุณสุภาภรณ์ ม่วงทอง</t>
  </si>
  <si>
    <t>คุณอภิษฎา ยศราวาส</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</si>
  <si>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</si>
  <si>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</si>
  <si>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</si>
  <si>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</si>
  <si>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</si>
  <si>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</si>
  <si>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</si>
  <si>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</si>
  <si>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</si>
  <si>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</si>
  <si>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คุณวัชราภรณ์ ปินะกะเส</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</si>
  <si>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</si>
  <si>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</si>
  <si>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</si>
  <si>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</si>
  <si>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</si>
  <si>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</si>
  <si>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</si>
  <si>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คุณดาราวรรณ อรัญญะ</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</si>
  <si>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</si>
  <si>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</si>
  <si>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</si>
  <si>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</si>
  <si>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</si>
  <si>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</si>
  <si>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</si>
  <si>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</si>
  <si>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</si>
  <si>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</si>
  <si>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</si>
  <si>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</si>
  <si>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</si>
  <si>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</si>
  <si>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</si>
  <si>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</si>
  <si>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</si>
  <si>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</si>
  <si>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</si>
  <si>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</si>
  <si>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</si>
  <si>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</si>
  <si>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</si>
  <si>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</si>
  <si>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</si>
  <si>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</si>
  <si>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</si>
  <si>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</si>
  <si>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</si>
  <si>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</si>
  <si>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</si>
  <si>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</si>
  <si>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</si>
  <si>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WING670624</t>
  </si>
  <si>
    <t>บริษัท เดอะ การ์เด้น เพลส งามวงศ์วาน จำกัด</t>
  </si>
  <si>
    <t>โครงการ เดอะการ์เด้นเพลส</t>
  </si>
  <si>
    <t>IV6710189</t>
  </si>
  <si>
    <t>NG</t>
  </si>
  <si>
    <t>NGCBN-HP241003</t>
  </si>
  <si>
    <t>ประจำเดือน พฤศจิกายน</t>
  </si>
  <si>
    <t>สรุปรายการเบิกค่าคอมมิชชั่น ประจำเดือน พฤศจิกายน 2567</t>
  </si>
  <si>
    <t>สรุปรายการเบิกค่าคอมมิชชั่น ประจำเดือน  พฤศจิกายน 2567</t>
  </si>
  <si>
    <t>ยกมาจากรอบ ต.ค. 67 เนื่องจาก Sales ส่งเอกสารไม่ทัน</t>
  </si>
  <si>
    <t>WILB671033</t>
  </si>
  <si>
    <t>คุณรัตนา บางเทศธรรม</t>
  </si>
  <si>
    <t>โครงการ ศักดิ์นาวิล แมนชั่น</t>
  </si>
  <si>
    <t>IV6710302</t>
  </si>
  <si>
    <t>WILB671034</t>
  </si>
  <si>
    <t>คุณศศิลดา เหรียญตระกูลชัย</t>
  </si>
  <si>
    <t>โครงการ ภีทยา แมนชั่น</t>
  </si>
  <si>
    <t>IV6710278</t>
  </si>
  <si>
    <t>WIWD670932</t>
  </si>
  <si>
    <t>โครงการ สิริวรรณ</t>
  </si>
  <si>
    <t>คุณสิริวรรณ โล้พิรุณ</t>
  </si>
  <si>
    <t>IV6711232</t>
  </si>
  <si>
    <t>WD</t>
  </si>
  <si>
    <t>รอเลขที่นำส่ง</t>
  </si>
  <si>
    <t>บริษัท เอ็ม แมนชั่น จำกัด</t>
  </si>
  <si>
    <t>โครงการ เอ็ม แมนชั่น 23</t>
  </si>
  <si>
    <t>RIIVL-2411-0002</t>
  </si>
  <si>
    <t>RI</t>
  </si>
  <si>
    <t>บริษัท เอ็ม.เค. แมนชั่น จำกัด</t>
  </si>
  <si>
    <t>โครงการ เอ็ม.เค.แมนชั่น</t>
  </si>
  <si>
    <t>RIIVL-2411-0003</t>
  </si>
  <si>
    <t>คุณปราณี มะลูลีม</t>
  </si>
  <si>
    <t>โครงการ ริฟาอีแมนชั่น</t>
  </si>
  <si>
    <t>RMIVL-2411-0001</t>
  </si>
  <si>
    <t>RM</t>
  </si>
  <si>
    <t>คุณคมสิทธิ์ ม้าทองคำกุล</t>
  </si>
  <si>
    <t>โครงการ ทิพย์ทอง  อพาร์ทเม้นท์</t>
  </si>
  <si>
    <t>RIIVL-2411-0001</t>
  </si>
  <si>
    <t>ห้องเช่าอาจารย์ทรรศพร รร.อนุบาลเจริญพงษ์</t>
  </si>
  <si>
    <t>WDIVL-2411-0336</t>
  </si>
  <si>
    <t>คุณธัญธร ศิริวรรณวัฒนา</t>
  </si>
  <si>
    <t>โครงการ ราม เฮ้าส์</t>
  </si>
  <si>
    <t>NCIVL-2411-0511</t>
  </si>
  <si>
    <t>NC</t>
  </si>
  <si>
    <t>บริษัท ไฮ โฮเทล แอนด์ เรสซิเดนซ์ จำกัด</t>
  </si>
  <si>
    <t>โครงการ VDA Residence- Victory Monument-Bangkok</t>
  </si>
  <si>
    <t>คุณชนัฐฎา สนคะมี</t>
  </si>
  <si>
    <t>PYIVL-2410-0031</t>
  </si>
  <si>
    <t>PT</t>
  </si>
  <si>
    <t>Total
รายการเบิก
คอมขาย</t>
  </si>
  <si>
    <t>261-2-24637-7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</si>
</sst>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quot;$&quot;* #,##0.00_);_(&quot;$&quot;* \(#,##0.00\);_(&quot;$&quot;* &quot;-&quot;??_);_(@_)"/>
    <numFmt numFmtId="166" formatCode="_(* #,##0.00_);_(* \(#,##0.00\);_(* &quot;-&quot;??_);_(@_)"/>
  </numFmts>
  <fonts count="58">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2"/>
      <color rgb="FFFF0000"/>
      <name val="Arial"/>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b/>
      <sz val="14"/>
      <color rgb="FF000000"/>
      <name val="Arial"/>
      <family val="2"/>
    </font>
    <font>
      <sz val="14"/>
      <color theme="0"/>
      <name val="Arial"/>
      <family val="2"/>
    </font>
    <font>
      <b/>
      <sz val="12"/>
      <color indexed="10"/>
      <name val="Arial"/>
      <family val="2"/>
    </font>
    <font>
      <b/>
      <sz val="11"/>
      <color theme="1"/>
      <name val="Arial"/>
      <family val="2"/>
    </font>
    <font>
      <sz val="12"/>
      <color rgb="FF0000FF"/>
      <name val="Arial"/>
      <family val="2"/>
    </font>
    <font>
      <sz val="11"/>
      <color theme="1"/>
      <name val="Arial"/>
      <family val="2"/>
    </font>
    <font>
      <b/>
      <sz val="14"/>
      <color rgb="FF000000"/>
      <name val="Calibri"/>
      <family val="2"/>
    </font>
  </fonts>
  <fills count="25">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59999389629810485"/>
        <bgColor rgb="FFBDD6EE"/>
      </patternFill>
    </fill>
    <fill>
      <patternFill patternType="solid">
        <fgColor theme="8" tint="0.59999389629810485"/>
        <bgColor indexed="64"/>
      </patternFill>
    </fill>
    <fill>
      <patternFill patternType="solid">
        <fgColor theme="6" tint="0.79998168889431442"/>
        <bgColor indexed="64"/>
      </patternFill>
    </fill>
    <fill>
      <patternFill patternType="solid">
        <fgColor theme="4" tint="0.79998168889431442"/>
        <bgColor indexed="64"/>
      </patternFill>
    </fill>
  </fills>
  <borders count="70">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style="thin">
        <color indexed="64"/>
      </right>
      <top style="dotted">
        <color indexed="53"/>
      </top>
      <bottom style="dotted">
        <color indexed="5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53"/>
      </top>
      <bottom style="medium">
        <color theme="5"/>
      </bottom>
      <diagonal/>
    </border>
    <border>
      <left style="thin">
        <color indexed="64"/>
      </left>
      <right style="thin">
        <color indexed="64"/>
      </right>
      <top/>
      <bottom style="medium">
        <color theme="5"/>
      </bottom>
      <diagonal/>
    </border>
    <border>
      <left/>
      <right style="thin">
        <color indexed="64"/>
      </right>
      <top/>
      <bottom style="medium">
        <color them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hair">
        <color indexed="53"/>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indexed="64"/>
      </right>
      <top/>
      <bottom style="hair">
        <color indexed="53"/>
      </bottom>
      <diagonal/>
    </border>
    <border>
      <left/>
      <right style="thin">
        <color indexed="64"/>
      </right>
      <top/>
      <bottom style="hair">
        <color indexed="53"/>
      </bottom>
      <diagonal/>
    </border>
    <border>
      <left style="thin">
        <color indexed="64"/>
      </left>
      <right style="thin">
        <color indexed="64"/>
      </right>
      <top/>
      <bottom style="hair">
        <color indexed="53"/>
      </bottom>
      <diagonal/>
    </border>
    <border>
      <left/>
      <right/>
      <top/>
      <bottom style="hair">
        <color indexed="53"/>
      </bottom>
      <diagonal/>
    </border>
    <border>
      <left style="medium">
        <color indexed="64"/>
      </left>
      <right style="thin">
        <color indexed="64"/>
      </right>
      <top style="medium">
        <color indexed="64"/>
      </top>
      <bottom style="hair">
        <color indexed="53"/>
      </bottom>
      <diagonal/>
    </border>
    <border>
      <left/>
      <right style="thin">
        <color indexed="64"/>
      </right>
      <top style="medium">
        <color indexed="64"/>
      </top>
      <bottom style="hair">
        <color indexed="53"/>
      </bottom>
      <diagonal/>
    </border>
    <border>
      <left/>
      <right style="medium">
        <color indexed="64"/>
      </right>
      <top style="medium">
        <color indexed="64"/>
      </top>
      <bottom style="hair">
        <color indexed="53"/>
      </bottom>
      <diagonal/>
    </border>
  </borders>
  <cellStyleXfs count="14">
    <xf numFmtId="0" fontId="0" fillId="0" borderId="0"/>
    <xf numFmtId="166" fontId="3" fillId="0" borderId="0" applyFont="0" applyFill="0" applyBorder="0" applyAlignment="0" applyProtection="0"/>
    <xf numFmtId="165"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166" fontId="14" fillId="0" borderId="0" applyFont="0" applyFill="0" applyBorder="0" applyAlignment="0" applyProtection="0"/>
    <xf numFmtId="0" fontId="14" fillId="0" borderId="0"/>
    <xf numFmtId="0" fontId="5" fillId="0" borderId="0" applyNumberFormat="0" applyFill="0" applyBorder="0" applyAlignment="0" applyProtection="0"/>
  </cellStyleXfs>
  <cellXfs count="560">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166" fontId="4" fillId="0" borderId="0" xfId="1" applyFont="1" applyProtection="1">
      <protection locked="0"/>
    </xf>
    <xf numFmtId="0" fontId="6" fillId="0" borderId="0" xfId="4" applyFont="1" applyAlignment="1" applyProtection="1">
      <alignment horizontal="centerContinuous" vertical="center"/>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166"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8" xfId="6" applyFont="1" applyBorder="1" applyAlignment="1" applyProtection="1">
      <alignment shrinkToFit="1"/>
      <protection locked="0"/>
    </xf>
    <xf numFmtId="0" fontId="10" fillId="0" borderId="7" xfId="6" applyFont="1" applyBorder="1" applyAlignment="1" applyProtection="1">
      <alignment vertical="center" shrinkToFit="1"/>
      <protection locked="0"/>
    </xf>
    <xf numFmtId="0" fontId="10" fillId="0" borderId="10" xfId="6" applyFont="1" applyBorder="1" applyAlignment="1" applyProtection="1">
      <alignment vertical="center" shrinkToFit="1"/>
      <protection locked="0"/>
    </xf>
    <xf numFmtId="165" fontId="8" fillId="0" borderId="0" xfId="2" applyFont="1" applyAlignment="1" applyProtection="1">
      <alignment horizontal="centerContinuous"/>
      <protection locked="0"/>
    </xf>
    <xf numFmtId="165"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166" fontId="15" fillId="0" borderId="0" xfId="1" applyFont="1" applyProtection="1">
      <protection locked="0"/>
    </xf>
    <xf numFmtId="166"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0" fontId="10" fillId="0" borderId="7" xfId="6" applyFont="1" applyBorder="1" applyAlignment="1" applyProtection="1">
      <alignment horizontal="center" vertic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166" fontId="4" fillId="0" borderId="0" xfId="1" applyFont="1" applyAlignment="1" applyProtection="1">
      <alignment horizontal="center"/>
      <protection locked="0"/>
    </xf>
    <xf numFmtId="166" fontId="4" fillId="0" borderId="0" xfId="0" applyNumberFormat="1" applyFont="1" applyAlignment="1" applyProtection="1">
      <alignment horizontal="center"/>
      <protection locked="0"/>
    </xf>
    <xf numFmtId="166" fontId="10" fillId="0" borderId="6" xfId="1" applyFont="1" applyBorder="1" applyAlignment="1" applyProtection="1">
      <alignment horizontal="center" shrinkToFit="1"/>
      <protection locked="0"/>
    </xf>
    <xf numFmtId="166" fontId="10" fillId="0" borderId="8" xfId="1" applyFont="1" applyBorder="1" applyAlignment="1" applyProtection="1">
      <alignment horizontal="center" shrinkToFit="1"/>
      <protection locked="0"/>
    </xf>
    <xf numFmtId="166" fontId="4" fillId="0" borderId="4" xfId="1" applyFont="1" applyBorder="1" applyAlignment="1" applyProtection="1">
      <alignment horizontal="center" shrinkToFit="1"/>
      <protection locked="0"/>
    </xf>
    <xf numFmtId="166" fontId="10" fillId="0" borderId="7" xfId="1" applyFont="1" applyBorder="1" applyAlignment="1" applyProtection="1">
      <alignment horizontal="center" vertical="center" shrinkToFit="1"/>
      <protection locked="0"/>
    </xf>
    <xf numFmtId="166" fontId="10" fillId="0" borderId="4" xfId="1" applyFont="1" applyBorder="1" applyAlignment="1" applyProtection="1">
      <alignment horizontal="center" vertic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0" fontId="10" fillId="0" borderId="4" xfId="1" applyNumberFormat="1" applyFont="1" applyBorder="1" applyAlignment="1" applyProtection="1">
      <alignment horizontal="center" vertical="center" shrinkToFit="1"/>
      <protection locked="0"/>
    </xf>
    <xf numFmtId="166" fontId="2" fillId="0" borderId="0" xfId="1" applyFont="1" applyBorder="1" applyAlignment="1" applyProtection="1">
      <alignment horizontal="centerContinuous"/>
      <protection locked="0"/>
    </xf>
    <xf numFmtId="166" fontId="7" fillId="0" borderId="0" xfId="1" applyFont="1" applyAlignment="1" applyProtection="1">
      <alignment horizontal="centerContinuous" vertical="center"/>
      <protection locked="0"/>
    </xf>
    <xf numFmtId="166" fontId="10" fillId="0" borderId="8" xfId="1" applyFont="1" applyBorder="1" applyAlignment="1" applyProtection="1">
      <alignment shrinkToFit="1"/>
      <protection locked="0"/>
    </xf>
    <xf numFmtId="166" fontId="4" fillId="0" borderId="4" xfId="1" applyFont="1" applyBorder="1" applyAlignment="1" applyProtection="1">
      <alignment horizontal="left" shrinkToFit="1"/>
      <protection locked="0"/>
    </xf>
    <xf numFmtId="166" fontId="10" fillId="0" borderId="7" xfId="1" applyFont="1" applyBorder="1" applyAlignment="1" applyProtection="1">
      <alignment vertical="center" shrinkToFit="1"/>
      <protection locked="0"/>
    </xf>
    <xf numFmtId="166" fontId="10" fillId="0" borderId="4" xfId="1" applyFont="1" applyBorder="1" applyAlignment="1" applyProtection="1">
      <alignment vertical="center" shrinkToFit="1"/>
      <protection locked="0"/>
    </xf>
    <xf numFmtId="166" fontId="10" fillId="0" borderId="4" xfId="1" applyFont="1" applyBorder="1" applyAlignment="1" applyProtection="1">
      <alignment horizontal="left" vertical="center" shrinkToFit="1"/>
      <protection locked="0"/>
    </xf>
    <xf numFmtId="17" fontId="10" fillId="0" borderId="7" xfId="1" applyNumberFormat="1" applyFont="1" applyBorder="1" applyAlignment="1" applyProtection="1">
      <alignment horizontal="center" vertical="center"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166" fontId="22" fillId="0" borderId="0" xfId="11" applyFont="1"/>
    <xf numFmtId="0" fontId="22" fillId="0" borderId="0" xfId="10" applyFont="1"/>
    <xf numFmtId="0" fontId="22" fillId="9" borderId="13" xfId="10" applyFont="1" applyFill="1" applyBorder="1" applyAlignment="1">
      <alignment horizontal="center" vertical="center"/>
    </xf>
    <xf numFmtId="166" fontId="16" fillId="9" borderId="13" xfId="11" applyFont="1" applyFill="1" applyBorder="1" applyAlignment="1">
      <alignment horizontal="center" vertical="center"/>
    </xf>
    <xf numFmtId="166" fontId="16" fillId="9" borderId="13" xfId="11" applyFont="1" applyFill="1" applyBorder="1" applyAlignment="1">
      <alignment horizontal="center" vertical="center" wrapText="1"/>
    </xf>
    <xf numFmtId="166" fontId="22" fillId="9" borderId="13" xfId="11" applyFont="1" applyFill="1" applyBorder="1" applyAlignment="1">
      <alignment horizontal="center" vertical="center" wrapText="1"/>
    </xf>
    <xf numFmtId="0" fontId="22" fillId="0" borderId="4" xfId="10" applyFont="1" applyBorder="1" applyAlignment="1">
      <alignment horizontal="center"/>
    </xf>
    <xf numFmtId="43" fontId="22" fillId="0" borderId="0" xfId="10" applyNumberFormat="1" applyFont="1"/>
    <xf numFmtId="0" fontId="22" fillId="0" borderId="18" xfId="10" applyFont="1" applyBorder="1"/>
    <xf numFmtId="0" fontId="22" fillId="5" borderId="4" xfId="10" applyFont="1" applyFill="1" applyBorder="1" applyAlignment="1">
      <alignment horizontal="center"/>
    </xf>
    <xf numFmtId="166"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166" fontId="16" fillId="6" borderId="12" xfId="11" applyFont="1" applyFill="1" applyBorder="1"/>
    <xf numFmtId="0" fontId="13" fillId="0" borderId="0" xfId="12" applyFont="1"/>
    <xf numFmtId="166" fontId="13" fillId="0" borderId="13" xfId="11" applyFont="1" applyBorder="1"/>
    <xf numFmtId="166" fontId="22" fillId="0" borderId="0" xfId="11" applyFont="1" applyFill="1" applyBorder="1"/>
    <xf numFmtId="0" fontId="8" fillId="0" borderId="0" xfId="12" applyFont="1" applyAlignment="1">
      <alignment horizontal="center"/>
    </xf>
    <xf numFmtId="0" fontId="8" fillId="0" borderId="0" xfId="12" applyFont="1"/>
    <xf numFmtId="166"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166" fontId="24" fillId="0" borderId="0" xfId="11" applyFont="1" applyAlignment="1">
      <alignment horizontal="left" indent="1"/>
    </xf>
    <xf numFmtId="166"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1" xfId="10" applyFont="1" applyFill="1" applyBorder="1" applyAlignment="1">
      <alignment horizontal="center"/>
    </xf>
    <xf numFmtId="166"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166" fontId="11" fillId="5" borderId="13" xfId="11" applyFont="1" applyFill="1" applyBorder="1"/>
    <xf numFmtId="49" fontId="25" fillId="0" borderId="0" xfId="10" applyNumberFormat="1" applyFont="1"/>
    <xf numFmtId="43" fontId="26" fillId="0" borderId="0" xfId="10" applyNumberFormat="1" applyFont="1"/>
    <xf numFmtId="43"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7" fillId="0" borderId="4" xfId="10" applyFont="1" applyBorder="1" applyAlignment="1">
      <alignment horizontal="center"/>
    </xf>
    <xf numFmtId="0" fontId="27" fillId="5" borderId="5" xfId="10" applyFont="1" applyFill="1" applyBorder="1" applyAlignment="1">
      <alignment horizontal="center"/>
    </xf>
    <xf numFmtId="0" fontId="27" fillId="5" borderId="4" xfId="10" applyFont="1" applyFill="1" applyBorder="1" applyAlignment="1">
      <alignment horizontal="center"/>
    </xf>
    <xf numFmtId="0" fontId="27" fillId="5" borderId="21" xfId="10" applyFont="1" applyFill="1" applyBorder="1" applyAlignment="1">
      <alignment horizontal="center"/>
    </xf>
    <xf numFmtId="0" fontId="28" fillId="0" borderId="0" xfId="10" applyFont="1"/>
    <xf numFmtId="166" fontId="28" fillId="0" borderId="0" xfId="11" applyFont="1"/>
    <xf numFmtId="0" fontId="28" fillId="9" borderId="13" xfId="10" applyFont="1" applyFill="1" applyBorder="1" applyAlignment="1">
      <alignment horizontal="center" vertical="center"/>
    </xf>
    <xf numFmtId="166" fontId="29" fillId="9" borderId="13" xfId="11" applyFont="1" applyFill="1" applyBorder="1" applyAlignment="1">
      <alignment horizontal="center" vertical="center" wrapText="1"/>
    </xf>
    <xf numFmtId="166" fontId="29" fillId="9" borderId="13" xfId="11" applyFont="1" applyFill="1" applyBorder="1" applyAlignment="1">
      <alignment horizontal="center" vertical="center"/>
    </xf>
    <xf numFmtId="166" fontId="28" fillId="9" borderId="13" xfId="11" applyFont="1" applyFill="1" applyBorder="1" applyAlignment="1">
      <alignment horizontal="center" vertical="center" wrapText="1"/>
    </xf>
    <xf numFmtId="0" fontId="30" fillId="0" borderId="13" xfId="10" applyFont="1" applyBorder="1" applyAlignment="1">
      <alignment horizontal="left"/>
    </xf>
    <xf numFmtId="0" fontId="30" fillId="0" borderId="13" xfId="11" applyNumberFormat="1" applyFont="1" applyBorder="1" applyAlignment="1">
      <alignment horizontal="center"/>
    </xf>
    <xf numFmtId="166" fontId="30" fillId="0" borderId="13" xfId="11" applyFont="1" applyBorder="1"/>
    <xf numFmtId="0" fontId="31" fillId="5" borderId="13" xfId="11" applyNumberFormat="1" applyFont="1" applyFill="1" applyBorder="1" applyAlignment="1">
      <alignment horizontal="center"/>
    </xf>
    <xf numFmtId="0" fontId="30" fillId="0" borderId="5" xfId="10" applyFont="1" applyBorder="1" applyAlignment="1">
      <alignment horizontal="left"/>
    </xf>
    <xf numFmtId="0" fontId="31" fillId="5" borderId="5" xfId="11" applyNumberFormat="1" applyFont="1" applyFill="1" applyBorder="1" applyAlignment="1">
      <alignment horizontal="center"/>
    </xf>
    <xf numFmtId="0" fontId="30" fillId="5" borderId="13" xfId="10" applyFont="1" applyFill="1" applyBorder="1" applyAlignment="1">
      <alignment horizontal="left"/>
    </xf>
    <xf numFmtId="166" fontId="28" fillId="0" borderId="0" xfId="11" applyFont="1" applyFill="1"/>
    <xf numFmtId="0" fontId="28" fillId="0" borderId="13" xfId="12" applyFont="1" applyBorder="1" applyAlignment="1">
      <alignment horizontal="center"/>
    </xf>
    <xf numFmtId="166" fontId="28" fillId="0" borderId="13" xfId="11" applyFont="1" applyBorder="1" applyAlignment="1">
      <alignment horizontal="center"/>
    </xf>
    <xf numFmtId="166" fontId="28" fillId="0" borderId="13" xfId="11" applyFont="1" applyFill="1" applyBorder="1" applyAlignment="1">
      <alignment horizontal="center"/>
    </xf>
    <xf numFmtId="0" fontId="30" fillId="0" borderId="0" xfId="12" applyFont="1"/>
    <xf numFmtId="166" fontId="30" fillId="0" borderId="13" xfId="11" applyFont="1" applyFill="1" applyBorder="1"/>
    <xf numFmtId="9" fontId="30" fillId="0" borderId="13" xfId="9" applyFont="1" applyBorder="1" applyAlignment="1">
      <alignment horizontal="center"/>
    </xf>
    <xf numFmtId="166" fontId="30" fillId="0" borderId="0" xfId="9" applyNumberFormat="1" applyFont="1"/>
    <xf numFmtId="0" fontId="30" fillId="0" borderId="13" xfId="12" applyFont="1" applyBorder="1" applyAlignment="1">
      <alignment horizontal="left"/>
    </xf>
    <xf numFmtId="0" fontId="35" fillId="6" borderId="13" xfId="11" applyNumberFormat="1" applyFont="1" applyFill="1" applyBorder="1" applyAlignment="1">
      <alignment horizontal="center"/>
    </xf>
    <xf numFmtId="43" fontId="13" fillId="0" borderId="13" xfId="12" applyNumberFormat="1" applyFont="1" applyBorder="1" applyAlignment="1">
      <alignment horizontal="center"/>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5" xfId="12" applyFont="1" applyBorder="1" applyAlignment="1">
      <alignment horizontal="left"/>
    </xf>
    <xf numFmtId="0" fontId="30" fillId="0" borderId="21" xfId="12" applyFont="1" applyBorder="1" applyAlignment="1">
      <alignment horizontal="left"/>
    </xf>
    <xf numFmtId="0" fontId="30" fillId="0" borderId="4" xfId="12" applyFont="1" applyBorder="1" applyAlignment="1">
      <alignment horizontal="left"/>
    </xf>
    <xf numFmtId="0" fontId="34" fillId="6" borderId="13" xfId="10" applyFont="1" applyFill="1" applyBorder="1" applyAlignment="1">
      <alignment horizontal="center"/>
    </xf>
    <xf numFmtId="166" fontId="13" fillId="0" borderId="13" xfId="12" applyNumberFormat="1" applyFont="1" applyBorder="1" applyAlignment="1">
      <alignment horizontal="center"/>
    </xf>
    <xf numFmtId="43" fontId="30" fillId="0" borderId="0" xfId="12" applyNumberFormat="1" applyFont="1"/>
    <xf numFmtId="0" fontId="22" fillId="0" borderId="12" xfId="12" applyFont="1" applyBorder="1" applyAlignment="1">
      <alignment horizontal="center"/>
    </xf>
    <xf numFmtId="9" fontId="22" fillId="0" borderId="19" xfId="9" applyFont="1" applyBorder="1" applyAlignment="1">
      <alignment horizontal="center"/>
    </xf>
    <xf numFmtId="0" fontId="4" fillId="0" borderId="7" xfId="0" applyFont="1" applyBorder="1" applyAlignment="1" applyProtection="1">
      <alignment horizontal="center"/>
      <protection locked="0"/>
    </xf>
    <xf numFmtId="166" fontId="42"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166" fontId="42"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7" xfId="8" applyFont="1" applyBorder="1" applyAlignment="1" applyProtection="1">
      <alignment horizontal="center" vertical="center" wrapText="1"/>
      <protection locked="0"/>
    </xf>
    <xf numFmtId="0" fontId="8" fillId="0" borderId="33" xfId="0" applyFont="1" applyBorder="1" applyAlignment="1" applyProtection="1">
      <alignment horizontal="centerContinuous"/>
      <protection locked="0"/>
    </xf>
    <xf numFmtId="0" fontId="8" fillId="0" borderId="34" xfId="0" applyFont="1" applyBorder="1" applyAlignment="1" applyProtection="1">
      <alignment horizontal="centerContinuous"/>
      <protection locked="0"/>
    </xf>
    <xf numFmtId="0" fontId="8" fillId="0" borderId="35" xfId="0" applyFont="1" applyBorder="1" applyAlignment="1" applyProtection="1">
      <alignment horizontal="centerContinuous"/>
      <protection locked="0"/>
    </xf>
    <xf numFmtId="0" fontId="8" fillId="0" borderId="35" xfId="0" applyFont="1" applyBorder="1" applyAlignment="1" applyProtection="1">
      <alignment horizontal="center"/>
      <protection locked="0"/>
    </xf>
    <xf numFmtId="166" fontId="8" fillId="0" borderId="35" xfId="0" applyNumberFormat="1" applyFont="1" applyBorder="1" applyAlignment="1" applyProtection="1">
      <alignment horizontal="centerContinuous"/>
      <protection locked="0"/>
    </xf>
    <xf numFmtId="0" fontId="43" fillId="16" borderId="37" xfId="0" applyFont="1" applyFill="1" applyBorder="1" applyAlignment="1">
      <alignment horizontal="center" wrapText="1"/>
    </xf>
    <xf numFmtId="0" fontId="44" fillId="0" borderId="0" xfId="0" applyFont="1"/>
    <xf numFmtId="0" fontId="3" fillId="0" borderId="0" xfId="0" applyFont="1"/>
    <xf numFmtId="166" fontId="4" fillId="0" borderId="8" xfId="1" applyFont="1" applyBorder="1" applyAlignment="1">
      <alignment horizontal="center"/>
    </xf>
    <xf numFmtId="166" fontId="4" fillId="0" borderId="4" xfId="1" applyFont="1" applyBorder="1" applyAlignment="1">
      <alignment horizontal="center"/>
    </xf>
    <xf numFmtId="0" fontId="10" fillId="0" borderId="4" xfId="6" applyFont="1" applyBorder="1" applyAlignment="1" applyProtection="1">
      <alignment horizontal="center" shrinkToFit="1"/>
      <protection locked="0"/>
    </xf>
    <xf numFmtId="166"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166" fontId="10" fillId="0" borderId="7" xfId="1" applyFont="1" applyBorder="1" applyAlignment="1" applyProtection="1">
      <alignment horizontal="center" shrinkToFit="1"/>
      <protection locked="0"/>
    </xf>
    <xf numFmtId="43"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1" fillId="5" borderId="28" xfId="6" applyFont="1" applyFill="1" applyBorder="1" applyAlignment="1" applyProtection="1">
      <alignment horizontal="center"/>
      <protection locked="0"/>
    </xf>
    <xf numFmtId="0" fontId="41"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1" fillId="5" borderId="29" xfId="6" applyFont="1" applyFill="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1" fillId="5" borderId="9" xfId="6" applyFont="1" applyFill="1" applyBorder="1" applyAlignment="1" applyProtection="1">
      <alignment horizontal="center"/>
      <protection locked="0"/>
    </xf>
    <xf numFmtId="166"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166" fontId="28" fillId="0" borderId="38" xfId="11" applyFont="1" applyFill="1" applyBorder="1" applyAlignment="1">
      <alignment horizontal="center"/>
    </xf>
    <xf numFmtId="0" fontId="13" fillId="0" borderId="38" xfId="10" applyFont="1" applyBorder="1" applyAlignment="1">
      <alignment horizontal="left"/>
    </xf>
    <xf numFmtId="0" fontId="13" fillId="0" borderId="39" xfId="10" applyFont="1" applyBorder="1" applyAlignment="1">
      <alignment horizontal="left"/>
    </xf>
    <xf numFmtId="166" fontId="8" fillId="0" borderId="35" xfId="0" applyNumberFormat="1" applyFont="1" applyBorder="1" applyAlignment="1" applyProtection="1">
      <alignment horizontal="left"/>
      <protection locked="0"/>
    </xf>
    <xf numFmtId="43" fontId="45" fillId="0" borderId="0" xfId="10" applyNumberFormat="1" applyFont="1"/>
    <xf numFmtId="166" fontId="8" fillId="10" borderId="35"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30" fillId="0" borderId="43" xfId="10" applyFont="1" applyBorder="1" applyAlignment="1">
      <alignment horizontal="left"/>
    </xf>
    <xf numFmtId="9" fontId="30" fillId="0" borderId="43" xfId="9" applyFont="1" applyBorder="1" applyAlignment="1">
      <alignment horizontal="center"/>
    </xf>
    <xf numFmtId="0" fontId="13" fillId="0" borderId="43" xfId="10" applyFont="1" applyBorder="1" applyAlignment="1">
      <alignment horizontal="left"/>
    </xf>
    <xf numFmtId="0" fontId="13" fillId="0" borderId="44" xfId="10" applyFont="1" applyBorder="1" applyAlignment="1">
      <alignment horizontal="left"/>
    </xf>
    <xf numFmtId="0" fontId="30" fillId="0" borderId="22" xfId="10" applyFont="1" applyBorder="1" applyAlignment="1">
      <alignment horizontal="left"/>
    </xf>
    <xf numFmtId="4" fontId="10" fillId="11" borderId="45" xfId="7" applyNumberFormat="1" applyFont="1" applyFill="1" applyBorder="1" applyAlignment="1" applyProtection="1">
      <alignment horizontal="center"/>
      <protection hidden="1"/>
    </xf>
    <xf numFmtId="0" fontId="4" fillId="0" borderId="47"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166" fontId="8" fillId="0" borderId="34"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166" fontId="8" fillId="0" borderId="35" xfId="0" applyNumberFormat="1" applyFont="1" applyBorder="1" applyAlignment="1" applyProtection="1">
      <alignment horizontal="center"/>
      <protection locked="0"/>
    </xf>
    <xf numFmtId="166" fontId="10" fillId="0" borderId="7" xfId="1" applyFont="1" applyFill="1" applyBorder="1" applyAlignment="1" applyProtection="1">
      <alignment horizontal="center" shrinkToFit="1"/>
      <protection locked="0"/>
    </xf>
    <xf numFmtId="0" fontId="30" fillId="0" borderId="43" xfId="12" applyFont="1" applyBorder="1" applyAlignment="1">
      <alignment horizontal="left"/>
    </xf>
    <xf numFmtId="0" fontId="46" fillId="0" borderId="0" xfId="0" applyFont="1" applyProtection="1">
      <protection locked="0"/>
    </xf>
    <xf numFmtId="166" fontId="6" fillId="0" borderId="0" xfId="1" applyFont="1" applyAlignment="1" applyProtection="1">
      <alignment horizontal="centerContinuous" vertical="center"/>
      <protection locked="0"/>
    </xf>
    <xf numFmtId="0" fontId="6" fillId="0" borderId="0" xfId="1" applyNumberFormat="1" applyFont="1" applyAlignment="1" applyProtection="1">
      <alignment horizontal="centerContinuous" vertical="center"/>
      <protection locked="0"/>
    </xf>
    <xf numFmtId="0" fontId="6" fillId="0" borderId="0" xfId="4" applyFont="1" applyAlignment="1" applyProtection="1">
      <alignment horizontal="center" vertical="center"/>
      <protection locked="0"/>
    </xf>
    <xf numFmtId="0" fontId="6" fillId="0" borderId="0" xfId="0" applyFont="1" applyAlignment="1" applyProtection="1">
      <alignment horizontal="center"/>
      <protection locked="0"/>
    </xf>
    <xf numFmtId="166" fontId="6" fillId="0" borderId="0" xfId="1" applyFont="1" applyAlignment="1" applyProtection="1">
      <alignment horizontal="center"/>
      <protection locked="0"/>
    </xf>
    <xf numFmtId="0" fontId="6" fillId="0" borderId="0" xfId="1" applyNumberFormat="1" applyFont="1" applyAlignment="1" applyProtection="1">
      <alignment horizontal="center"/>
      <protection locked="0"/>
    </xf>
    <xf numFmtId="4" fontId="6" fillId="0" borderId="0" xfId="1" applyNumberFormat="1" applyFont="1" applyAlignment="1" applyProtection="1">
      <alignment horizontal="center"/>
      <protection locked="0"/>
    </xf>
    <xf numFmtId="4" fontId="46" fillId="0" borderId="0" xfId="1" applyNumberFormat="1" applyFont="1" applyProtection="1">
      <protection locked="0"/>
    </xf>
    <xf numFmtId="0" fontId="46" fillId="0" borderId="0" xfId="1" applyNumberFormat="1" applyFont="1" applyAlignment="1" applyProtection="1">
      <alignment horizontal="center"/>
      <protection locked="0"/>
    </xf>
    <xf numFmtId="4" fontId="46" fillId="0" borderId="0" xfId="1" applyNumberFormat="1" applyFont="1" applyAlignment="1" applyProtection="1">
      <alignment horizontal="center"/>
      <protection locked="0"/>
    </xf>
    <xf numFmtId="0" fontId="46" fillId="0" borderId="0" xfId="1" applyNumberFormat="1" applyFont="1" applyProtection="1">
      <protection locked="0"/>
    </xf>
    <xf numFmtId="0" fontId="6" fillId="0" borderId="0" xfId="0" applyFont="1" applyAlignment="1" applyProtection="1">
      <alignment horizontal="left"/>
      <protection locked="0"/>
    </xf>
    <xf numFmtId="9" fontId="6" fillId="0" borderId="0" xfId="9" applyFont="1" applyAlignment="1" applyProtection="1">
      <alignment horizontal="center"/>
      <protection locked="0"/>
    </xf>
    <xf numFmtId="0" fontId="6" fillId="0" borderId="36" xfId="0" applyFont="1" applyBorder="1" applyProtection="1">
      <protection locked="0"/>
    </xf>
    <xf numFmtId="0" fontId="6" fillId="0" borderId="36" xfId="0" applyFont="1" applyBorder="1" applyAlignment="1" applyProtection="1">
      <alignment horizontal="center"/>
      <protection locked="0"/>
    </xf>
    <xf numFmtId="166" fontId="6" fillId="0" borderId="36" xfId="1" applyFont="1" applyBorder="1" applyAlignment="1" applyProtection="1">
      <alignment horizontal="center"/>
      <protection locked="0"/>
    </xf>
    <xf numFmtId="166" fontId="6" fillId="10" borderId="36" xfId="1" applyFont="1" applyFill="1" applyBorder="1" applyAlignment="1" applyProtection="1">
      <alignment horizontal="center"/>
      <protection locked="0"/>
    </xf>
    <xf numFmtId="4" fontId="6" fillId="0" borderId="0" xfId="1" applyNumberFormat="1" applyFont="1" applyProtection="1">
      <protection locked="0"/>
    </xf>
    <xf numFmtId="0" fontId="46" fillId="0" borderId="0" xfId="0" applyFont="1" applyAlignment="1" applyProtection="1">
      <alignment horizontal="center"/>
      <protection locked="0"/>
    </xf>
    <xf numFmtId="166" fontId="46" fillId="0" borderId="0" xfId="1" applyFont="1" applyAlignment="1" applyProtection="1">
      <alignment horizontal="center"/>
      <protection locked="0"/>
    </xf>
    <xf numFmtId="166" fontId="46" fillId="0" borderId="0" xfId="1" applyFont="1" applyProtection="1">
      <protection locked="0"/>
    </xf>
    <xf numFmtId="4" fontId="2" fillId="0" borderId="0" xfId="1" applyNumberFormat="1" applyFont="1" applyProtection="1">
      <protection locked="0"/>
    </xf>
    <xf numFmtId="166" fontId="2" fillId="0" borderId="0" xfId="1" applyFont="1" applyProtection="1">
      <protection locked="0"/>
    </xf>
    <xf numFmtId="4" fontId="2" fillId="0" borderId="0" xfId="1" applyNumberFormat="1" applyFont="1" applyAlignment="1" applyProtection="1">
      <alignment horizontal="center"/>
      <protection locked="0"/>
    </xf>
    <xf numFmtId="0" fontId="46" fillId="0" borderId="0" xfId="0" applyFont="1"/>
    <xf numFmtId="166" fontId="46" fillId="0" borderId="0" xfId="0" applyNumberFormat="1" applyFont="1" applyProtection="1">
      <protection locked="0"/>
    </xf>
    <xf numFmtId="166" fontId="46" fillId="0" borderId="0" xfId="0" applyNumberFormat="1" applyFont="1" applyAlignment="1" applyProtection="1">
      <alignment horizontal="center"/>
      <protection locked="0"/>
    </xf>
    <xf numFmtId="0" fontId="49" fillId="0" borderId="0" xfId="10" applyFont="1" applyAlignment="1">
      <alignment horizontal="left"/>
    </xf>
    <xf numFmtId="0" fontId="49" fillId="0" borderId="0" xfId="10" applyFont="1" applyAlignment="1">
      <alignment horizontal="centerContinuous"/>
    </xf>
    <xf numFmtId="166" fontId="49" fillId="0" borderId="0" xfId="11" applyFont="1" applyAlignment="1">
      <alignment horizontal="centerContinuous"/>
    </xf>
    <xf numFmtId="0" fontId="49" fillId="0" borderId="0" xfId="10" applyFont="1"/>
    <xf numFmtId="0" fontId="8" fillId="0" borderId="0" xfId="10" applyFont="1"/>
    <xf numFmtId="0" fontId="37" fillId="0" borderId="0" xfId="10" applyFont="1" applyAlignment="1">
      <alignment horizontal="left"/>
    </xf>
    <xf numFmtId="0" fontId="37" fillId="0" borderId="0" xfId="10" applyFont="1"/>
    <xf numFmtId="166" fontId="37" fillId="0" borderId="0" xfId="11" applyFont="1"/>
    <xf numFmtId="9" fontId="37" fillId="7" borderId="0" xfId="9" applyFont="1" applyFill="1" applyAlignment="1">
      <alignment horizontal="center"/>
    </xf>
    <xf numFmtId="166" fontId="50" fillId="0" borderId="0" xfId="11" applyFont="1" applyAlignment="1">
      <alignment horizontal="right"/>
    </xf>
    <xf numFmtId="166" fontId="8" fillId="0" borderId="0" xfId="11" applyFont="1"/>
    <xf numFmtId="0" fontId="47" fillId="4" borderId="3" xfId="8" applyFont="1" applyBorder="1" applyAlignment="1" applyProtection="1">
      <alignment horizontal="center" vertical="center" wrapText="1"/>
      <protection locked="0"/>
    </xf>
    <xf numFmtId="0" fontId="47" fillId="4" borderId="4" xfId="8" applyFont="1" applyBorder="1" applyAlignment="1" applyProtection="1">
      <alignment horizontal="center" vertical="center" wrapText="1"/>
      <protection locked="0"/>
    </xf>
    <xf numFmtId="0" fontId="47" fillId="4" borderId="27" xfId="8" applyFont="1" applyBorder="1" applyAlignment="1" applyProtection="1">
      <alignment horizontal="center" vertical="center" wrapText="1"/>
      <protection locked="0"/>
    </xf>
    <xf numFmtId="0" fontId="51" fillId="14" borderId="22" xfId="0" applyFont="1" applyFill="1" applyBorder="1" applyAlignment="1">
      <alignment horizontal="center" vertical="center" wrapText="1"/>
    </xf>
    <xf numFmtId="166" fontId="47" fillId="4" borderId="4" xfId="1" applyFont="1" applyFill="1" applyBorder="1" applyAlignment="1" applyProtection="1">
      <alignment horizontal="center" vertical="center" wrapText="1"/>
      <protection locked="0"/>
    </xf>
    <xf numFmtId="0" fontId="47" fillId="4" borderId="4" xfId="1" applyNumberFormat="1" applyFont="1" applyFill="1" applyBorder="1" applyAlignment="1" applyProtection="1">
      <alignment horizontal="center" vertical="center" wrapText="1"/>
      <protection locked="0"/>
    </xf>
    <xf numFmtId="166" fontId="47" fillId="12" borderId="4" xfId="1" applyFont="1" applyFill="1" applyBorder="1" applyAlignment="1" applyProtection="1">
      <alignment horizontal="center" vertical="center" wrapText="1"/>
      <protection locked="0"/>
    </xf>
    <xf numFmtId="4" fontId="47" fillId="12" borderId="4" xfId="8" applyNumberFormat="1" applyFont="1" applyFill="1" applyBorder="1" applyAlignment="1" applyProtection="1">
      <alignment horizontal="center" vertical="center" wrapText="1"/>
      <protection locked="0"/>
    </xf>
    <xf numFmtId="4" fontId="52" fillId="13" borderId="4" xfId="8" applyNumberFormat="1" applyFont="1" applyFill="1" applyBorder="1" applyAlignment="1" applyProtection="1">
      <alignment horizontal="center" vertical="center" wrapText="1"/>
      <protection hidden="1"/>
    </xf>
    <xf numFmtId="0" fontId="47" fillId="5" borderId="0" xfId="8" applyFont="1" applyFill="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10" fillId="0" borderId="11" xfId="6" applyFont="1" applyBorder="1" applyAlignment="1" applyProtection="1">
      <alignment horizontal="center" vertical="center"/>
      <protection locked="0"/>
    </xf>
    <xf numFmtId="166" fontId="10" fillId="0" borderId="7" xfId="1" applyFont="1" applyFill="1" applyBorder="1" applyAlignment="1" applyProtection="1">
      <alignment vertical="center" shrinkToFit="1"/>
      <protection locked="0"/>
    </xf>
    <xf numFmtId="166" fontId="10" fillId="0" borderId="6" xfId="1" applyFont="1" applyFill="1" applyBorder="1" applyAlignment="1" applyProtection="1">
      <alignment horizontal="center" vertical="center" shrinkToFit="1"/>
      <protection locked="0"/>
    </xf>
    <xf numFmtId="4" fontId="10" fillId="0" borderId="7" xfId="1" applyNumberFormat="1" applyFont="1" applyBorder="1" applyAlignment="1" applyProtection="1">
      <alignment vertical="center"/>
      <protection locked="0"/>
    </xf>
    <xf numFmtId="4" fontId="4" fillId="3" borderId="7" xfId="7" applyNumberFormat="1" applyFont="1" applyBorder="1" applyProtection="1">
      <protection hidden="1"/>
    </xf>
    <xf numFmtId="4" fontId="10" fillId="0" borderId="7" xfId="7" applyNumberFormat="1" applyFont="1" applyFill="1" applyBorder="1" applyAlignment="1" applyProtection="1">
      <alignment horizontal="center"/>
      <protection hidden="1"/>
    </xf>
    <xf numFmtId="0" fontId="10" fillId="0" borderId="0" xfId="6" applyFont="1" applyBorder="1" applyAlignment="1" applyProtection="1">
      <alignment vertical="center"/>
      <protection locked="0"/>
    </xf>
    <xf numFmtId="0" fontId="41" fillId="5" borderId="9" xfId="6" applyFont="1" applyFill="1" applyBorder="1" applyAlignment="1" applyProtection="1">
      <alignment horizontal="center" vertical="center"/>
      <protection locked="0"/>
    </xf>
    <xf numFmtId="0" fontId="41" fillId="11" borderId="9" xfId="6" applyFont="1" applyFill="1" applyBorder="1" applyAlignment="1" applyProtection="1">
      <alignment horizontal="center" vertical="center"/>
      <protection locked="0"/>
    </xf>
    <xf numFmtId="0" fontId="19" fillId="0" borderId="10" xfId="6" applyFont="1" applyFill="1" applyBorder="1" applyAlignment="1" applyProtection="1">
      <alignment vertical="center" shrinkToFit="1"/>
      <protection locked="0"/>
    </xf>
    <xf numFmtId="166" fontId="10" fillId="0" borderId="4" xfId="1" applyFont="1" applyFill="1" applyBorder="1" applyAlignment="1" applyProtection="1">
      <alignment vertical="center" shrinkToFit="1"/>
      <protection locked="0"/>
    </xf>
    <xf numFmtId="4" fontId="10" fillId="0" borderId="14" xfId="1" applyNumberFormat="1" applyFont="1" applyBorder="1" applyAlignment="1" applyProtection="1">
      <alignment vertical="center"/>
      <protection locked="0"/>
    </xf>
    <xf numFmtId="4" fontId="10" fillId="0" borderId="4" xfId="1" applyNumberFormat="1" applyFont="1" applyBorder="1" applyAlignment="1" applyProtection="1">
      <alignment vertical="center"/>
      <protection locked="0"/>
    </xf>
    <xf numFmtId="4" fontId="10" fillId="3" borderId="10" xfId="7" applyNumberFormat="1" applyFont="1" applyBorder="1" applyProtection="1">
      <protection hidden="1"/>
    </xf>
    <xf numFmtId="4" fontId="10" fillId="0" borderId="10" xfId="7" applyNumberFormat="1" applyFont="1" applyFill="1" applyBorder="1" applyAlignment="1" applyProtection="1">
      <alignment horizontal="center"/>
      <protection hidden="1"/>
    </xf>
    <xf numFmtId="0" fontId="41" fillId="5" borderId="3" xfId="6" applyFont="1" applyFill="1" applyBorder="1" applyAlignment="1" applyProtection="1">
      <alignment horizontal="center" vertical="center"/>
      <protection locked="0"/>
    </xf>
    <xf numFmtId="0" fontId="41" fillId="11" borderId="3" xfId="6" applyFont="1" applyFill="1" applyBorder="1" applyAlignment="1" applyProtection="1">
      <alignment horizontal="center" vertical="center"/>
      <protection locked="0"/>
    </xf>
    <xf numFmtId="0" fontId="36" fillId="0" borderId="4" xfId="6" applyFont="1" applyFill="1" applyBorder="1" applyAlignment="1" applyProtection="1">
      <alignment horizontal="left" vertical="center" shrinkToFit="1"/>
      <protection locked="0"/>
    </xf>
    <xf numFmtId="166" fontId="10" fillId="0" borderId="4" xfId="1" applyFont="1" applyFill="1" applyBorder="1" applyAlignment="1" applyProtection="1">
      <alignment horizontal="left" vertical="center" shrinkToFit="1"/>
      <protection locked="0"/>
    </xf>
    <xf numFmtId="4" fontId="10" fillId="3" borderId="15" xfId="7" applyNumberFormat="1" applyFont="1" applyBorder="1" applyProtection="1">
      <protection hidden="1"/>
    </xf>
    <xf numFmtId="4" fontId="10" fillId="0" borderId="4" xfId="7" applyNumberFormat="1" applyFont="1" applyFill="1" applyBorder="1" applyAlignment="1" applyProtection="1">
      <alignment horizontal="center"/>
      <protection hidden="1"/>
    </xf>
    <xf numFmtId="0" fontId="10" fillId="11" borderId="16" xfId="6" quotePrefix="1" applyFont="1" applyFill="1" applyBorder="1" applyAlignment="1" applyProtection="1">
      <alignment horizontal="center" vertical="center"/>
      <protection locked="0"/>
    </xf>
    <xf numFmtId="4" fontId="10" fillId="0" borderId="6" xfId="1" applyNumberFormat="1" applyFont="1" applyBorder="1" applyAlignment="1" applyProtection="1">
      <alignment vertical="center"/>
      <protection locked="0"/>
    </xf>
    <xf numFmtId="166" fontId="10" fillId="0" borderId="6" xfId="1" applyFont="1" applyBorder="1" applyAlignment="1" applyProtection="1">
      <alignment vertical="center" shrinkToFit="1"/>
      <protection locked="0"/>
    </xf>
    <xf numFmtId="0" fontId="4" fillId="0" borderId="6" xfId="0" applyFont="1" applyBorder="1" applyAlignment="1" applyProtection="1">
      <alignment horizontal="center"/>
      <protection locked="0"/>
    </xf>
    <xf numFmtId="4" fontId="10" fillId="0" borderId="6" xfId="7" applyNumberFormat="1" applyFont="1" applyFill="1" applyBorder="1" applyAlignment="1" applyProtection="1">
      <alignment horizontal="center"/>
      <protection hidden="1"/>
    </xf>
    <xf numFmtId="0" fontId="10" fillId="0" borderId="10" xfId="6" applyFont="1" applyFill="1" applyBorder="1" applyAlignment="1" applyProtection="1">
      <alignment vertical="center" shrinkToFit="1"/>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10" fillId="0" borderId="16" xfId="6" applyFont="1" applyBorder="1" applyAlignment="1" applyProtection="1">
      <alignment horizontal="center" vertical="center"/>
      <protection locked="0"/>
    </xf>
    <xf numFmtId="0" fontId="41" fillId="5" borderId="17" xfId="6" applyFont="1" applyFill="1" applyBorder="1" applyAlignment="1" applyProtection="1">
      <alignment horizontal="center" vertical="center"/>
      <protection locked="0"/>
    </xf>
    <xf numFmtId="0" fontId="41" fillId="5" borderId="40" xfId="6" applyFont="1" applyFill="1" applyBorder="1" applyAlignment="1" applyProtection="1">
      <alignment horizontal="center" vertical="center"/>
      <protection locked="0"/>
    </xf>
    <xf numFmtId="0" fontId="53" fillId="0" borderId="0" xfId="0" applyFont="1" applyProtection="1">
      <protection locked="0"/>
    </xf>
    <xf numFmtId="166" fontId="10" fillId="0" borderId="7" xfId="1" applyFont="1" applyFill="1" applyBorder="1" applyAlignment="1" applyProtection="1">
      <alignment horizontal="center" vertical="center" shrinkToFit="1"/>
      <protection locked="0"/>
    </xf>
    <xf numFmtId="4" fontId="10" fillId="0" borderId="7" xfId="1" applyNumberFormat="1" applyFont="1" applyFill="1" applyBorder="1" applyAlignment="1" applyProtection="1">
      <alignment vertical="center"/>
      <protection locked="0"/>
    </xf>
    <xf numFmtId="4" fontId="10" fillId="0" borderId="6" xfId="1" applyNumberFormat="1" applyFont="1" applyFill="1" applyBorder="1" applyAlignment="1" applyProtection="1">
      <alignment vertical="center"/>
      <protection locked="0"/>
    </xf>
    <xf numFmtId="0" fontId="8" fillId="11" borderId="3" xfId="6" applyFont="1" applyFill="1" applyBorder="1" applyAlignment="1" applyProtection="1">
      <alignment horizontal="center" vertical="center"/>
      <protection locked="0"/>
    </xf>
    <xf numFmtId="166" fontId="36" fillId="0" borderId="4" xfId="1" applyFont="1" applyBorder="1" applyAlignment="1" applyProtection="1">
      <alignment horizontal="center" vertical="center" shrinkToFit="1"/>
      <protection locked="0"/>
    </xf>
    <xf numFmtId="0" fontId="41" fillId="11" borderId="42" xfId="6" applyFont="1" applyFill="1" applyBorder="1" applyAlignment="1" applyProtection="1">
      <alignment horizontal="center" vertical="center"/>
      <protection locked="0"/>
    </xf>
    <xf numFmtId="0" fontId="36" fillId="0" borderId="41" xfId="6" applyFont="1" applyBorder="1" applyAlignment="1" applyProtection="1">
      <alignment horizontal="left" vertical="center" shrinkToFit="1"/>
      <protection locked="0"/>
    </xf>
    <xf numFmtId="166" fontId="4" fillId="0" borderId="41" xfId="1" applyFont="1" applyBorder="1" applyAlignment="1" applyProtection="1">
      <alignment horizontal="center" shrinkToFit="1"/>
      <protection locked="0"/>
    </xf>
    <xf numFmtId="0" fontId="38" fillId="11" borderId="3" xfId="6" applyFont="1" applyFill="1" applyBorder="1" applyAlignment="1" applyProtection="1">
      <alignment horizontal="center" vertical="center"/>
      <protection locked="0"/>
    </xf>
    <xf numFmtId="17" fontId="10" fillId="0" borderId="4" xfId="1" applyNumberFormat="1" applyFont="1" applyBorder="1" applyAlignment="1" applyProtection="1">
      <alignment horizontal="center" vertical="center" shrinkToFit="1"/>
      <protection locked="0"/>
    </xf>
    <xf numFmtId="0" fontId="8" fillId="5" borderId="3" xfId="6" applyFont="1" applyFill="1" applyBorder="1" applyAlignment="1" applyProtection="1">
      <alignment horizontal="center" vertical="center"/>
      <protection locked="0"/>
    </xf>
    <xf numFmtId="0" fontId="41" fillId="5" borderId="42" xfId="6" applyFont="1" applyFill="1" applyBorder="1" applyAlignment="1" applyProtection="1">
      <alignment horizontal="center" vertical="center"/>
      <protection locked="0"/>
    </xf>
    <xf numFmtId="49" fontId="10" fillId="0" borderId="16" xfId="6" quotePrefix="1" applyNumberFormat="1" applyFont="1" applyBorder="1" applyAlignment="1" applyProtection="1">
      <alignment horizontal="center" vertical="center"/>
      <protection locked="0"/>
    </xf>
    <xf numFmtId="0" fontId="10" fillId="0" borderId="16" xfId="6" quotePrefix="1" applyFont="1" applyBorder="1" applyAlignment="1" applyProtection="1">
      <alignment horizontal="center" vertical="center"/>
      <protection locked="0"/>
    </xf>
    <xf numFmtId="0" fontId="22" fillId="0" borderId="52" xfId="12" applyFont="1" applyBorder="1" applyAlignment="1">
      <alignment horizontal="center"/>
    </xf>
    <xf numFmtId="0" fontId="13" fillId="0" borderId="52" xfId="12" applyFont="1" applyBorder="1" applyAlignment="1">
      <alignment horizontal="center"/>
    </xf>
    <xf numFmtId="9" fontId="13" fillId="0" borderId="52" xfId="9" applyFont="1" applyBorder="1" applyAlignment="1">
      <alignment horizontal="center"/>
    </xf>
    <xf numFmtId="166" fontId="13" fillId="0" borderId="52" xfId="12" applyNumberFormat="1" applyFont="1" applyBorder="1" applyAlignment="1">
      <alignment horizontal="center"/>
    </xf>
    <xf numFmtId="0" fontId="30" fillId="0" borderId="5" xfId="10" applyFont="1" applyBorder="1" applyAlignment="1">
      <alignment wrapText="1"/>
    </xf>
    <xf numFmtId="0" fontId="30" fillId="5" borderId="5" xfId="10" applyFont="1" applyFill="1" applyBorder="1" applyAlignment="1">
      <alignment horizontal="center"/>
    </xf>
    <xf numFmtId="166" fontId="30" fillId="0" borderId="13" xfId="11" applyFont="1" applyBorder="1" applyAlignment="1"/>
    <xf numFmtId="166" fontId="31" fillId="8" borderId="13" xfId="11" applyFont="1" applyFill="1" applyBorder="1" applyAlignment="1"/>
    <xf numFmtId="166" fontId="30" fillId="5" borderId="13" xfId="11" applyFont="1" applyFill="1" applyBorder="1" applyAlignment="1"/>
    <xf numFmtId="0" fontId="45" fillId="0" borderId="0" xfId="10" applyFont="1" applyAlignment="1"/>
    <xf numFmtId="0" fontId="22" fillId="0" borderId="0" xfId="10" applyFont="1" applyAlignment="1"/>
    <xf numFmtId="49" fontId="25" fillId="0" borderId="0" xfId="10" applyNumberFormat="1" applyFont="1" applyAlignment="1"/>
    <xf numFmtId="0" fontId="30" fillId="0" borderId="4" xfId="10" applyFont="1" applyBorder="1" applyAlignment="1"/>
    <xf numFmtId="0" fontId="30" fillId="5" borderId="4" xfId="10" applyFont="1" applyFill="1" applyBorder="1" applyAlignment="1">
      <alignment horizontal="center"/>
    </xf>
    <xf numFmtId="166" fontId="30" fillId="0" borderId="13" xfId="11" applyFont="1" applyFill="1" applyBorder="1" applyAlignment="1"/>
    <xf numFmtId="43" fontId="26" fillId="0" borderId="0" xfId="10" applyNumberFormat="1" applyFont="1" applyAlignment="1"/>
    <xf numFmtId="43" fontId="22" fillId="0" borderId="0" xfId="10" applyNumberFormat="1" applyFont="1" applyAlignment="1"/>
    <xf numFmtId="0" fontId="30" fillId="0" borderId="4" xfId="10" applyFont="1" applyBorder="1" applyAlignment="1">
      <alignment horizontal="right"/>
    </xf>
    <xf numFmtId="0" fontId="30" fillId="0" borderId="21" xfId="10" applyFont="1" applyBorder="1" applyAlignment="1">
      <alignment horizontal="right"/>
    </xf>
    <xf numFmtId="0" fontId="30" fillId="5" borderId="21" xfId="10" applyFont="1" applyFill="1" applyBorder="1" applyAlignment="1">
      <alignment horizontal="center"/>
    </xf>
    <xf numFmtId="0" fontId="30" fillId="5" borderId="5" xfId="10" applyFont="1" applyFill="1" applyBorder="1" applyAlignment="1"/>
    <xf numFmtId="166" fontId="31" fillId="5" borderId="13" xfId="11" applyFont="1" applyFill="1" applyBorder="1" applyAlignment="1"/>
    <xf numFmtId="43" fontId="25" fillId="0" borderId="0" xfId="10" applyNumberFormat="1" applyFont="1" applyAlignment="1"/>
    <xf numFmtId="0" fontId="22" fillId="0" borderId="18" xfId="10" applyFont="1" applyBorder="1" applyAlignment="1"/>
    <xf numFmtId="0" fontId="30" fillId="5" borderId="4" xfId="10" applyFont="1" applyFill="1" applyBorder="1" applyAlignment="1"/>
    <xf numFmtId="164" fontId="13" fillId="5" borderId="4" xfId="10" applyNumberFormat="1" applyFont="1" applyFill="1" applyBorder="1" applyAlignment="1">
      <alignment horizontal="center"/>
    </xf>
    <xf numFmtId="0" fontId="22" fillId="0" borderId="0" xfId="10" applyFont="1" applyBorder="1" applyAlignment="1"/>
    <xf numFmtId="164" fontId="13" fillId="5" borderId="21" xfId="10" applyNumberFormat="1" applyFont="1" applyFill="1" applyBorder="1" applyAlignment="1">
      <alignment horizontal="center"/>
    </xf>
    <xf numFmtId="0" fontId="30" fillId="5" borderId="5" xfId="10" applyFont="1" applyFill="1" applyBorder="1" applyAlignment="1">
      <alignment wrapText="1"/>
    </xf>
    <xf numFmtId="0" fontId="30" fillId="5" borderId="13" xfId="10" applyFont="1" applyFill="1" applyBorder="1" applyAlignment="1">
      <alignment horizontal="left" wrapText="1"/>
    </xf>
    <xf numFmtId="166" fontId="22" fillId="0" borderId="0" xfId="10" applyNumberFormat="1" applyFont="1" applyAlignment="1"/>
    <xf numFmtId="0" fontId="30" fillId="5" borderId="4" xfId="10" applyFont="1" applyFill="1" applyBorder="1" applyAlignment="1">
      <alignment wrapText="1"/>
    </xf>
    <xf numFmtId="0" fontId="30" fillId="5" borderId="21" xfId="10" applyFont="1" applyFill="1" applyBorder="1" applyAlignment="1">
      <alignment horizontal="right" wrapText="1"/>
    </xf>
    <xf numFmtId="0" fontId="33" fillId="6" borderId="13" xfId="10" applyFont="1" applyFill="1" applyBorder="1" applyAlignment="1"/>
    <xf numFmtId="166" fontId="35" fillId="6" borderId="12" xfId="11" applyFont="1" applyFill="1" applyBorder="1" applyAlignment="1"/>
    <xf numFmtId="166" fontId="34" fillId="10" borderId="13" xfId="11" applyFont="1" applyFill="1" applyBorder="1" applyAlignment="1"/>
    <xf numFmtId="0" fontId="28" fillId="0" borderId="0" xfId="10" applyFont="1" applyAlignment="1"/>
    <xf numFmtId="166" fontId="28" fillId="0" borderId="0" xfId="11" applyFont="1" applyAlignment="1"/>
    <xf numFmtId="166" fontId="28" fillId="0" borderId="0" xfId="11" applyFont="1" applyFill="1" applyAlignment="1"/>
    <xf numFmtId="0" fontId="32" fillId="0" borderId="13" xfId="12" applyFont="1" applyBorder="1"/>
    <xf numFmtId="166" fontId="13" fillId="0" borderId="13" xfId="9" applyNumberFormat="1" applyFont="1" applyBorder="1" applyAlignment="1">
      <alignment horizontal="center"/>
    </xf>
    <xf numFmtId="166" fontId="13" fillId="0" borderId="13" xfId="11" applyFont="1" applyBorder="1" applyAlignment="1"/>
    <xf numFmtId="166" fontId="13" fillId="0" borderId="13" xfId="11" applyFont="1" applyFill="1" applyBorder="1" applyAlignment="1"/>
    <xf numFmtId="166" fontId="13" fillId="0" borderId="13" xfId="9" applyNumberFormat="1" applyFont="1" applyFill="1" applyBorder="1" applyAlignment="1">
      <alignment horizontal="center"/>
    </xf>
    <xf numFmtId="0" fontId="32" fillId="0" borderId="38" xfId="12" applyFont="1" applyBorder="1"/>
    <xf numFmtId="0" fontId="32" fillId="0" borderId="43" xfId="12" applyFont="1" applyBorder="1"/>
    <xf numFmtId="166" fontId="13" fillId="0" borderId="13" xfId="9" applyNumberFormat="1" applyFont="1" applyBorder="1" applyAlignment="1"/>
    <xf numFmtId="166" fontId="13" fillId="0" borderId="0" xfId="12" applyNumberFormat="1" applyFont="1"/>
    <xf numFmtId="0" fontId="39" fillId="0" borderId="19" xfId="12" applyFont="1" applyBorder="1"/>
    <xf numFmtId="166" fontId="22" fillId="0" borderId="19" xfId="9" applyNumberFormat="1" applyFont="1" applyBorder="1" applyAlignment="1">
      <alignment horizontal="center"/>
    </xf>
    <xf numFmtId="166" fontId="22" fillId="0" borderId="20" xfId="11" applyFont="1" applyBorder="1" applyAlignment="1"/>
    <xf numFmtId="166" fontId="22" fillId="10" borderId="13" xfId="11" applyFont="1" applyFill="1" applyBorder="1" applyAlignment="1"/>
    <xf numFmtId="0" fontId="22" fillId="0" borderId="13" xfId="12" applyFont="1" applyBorder="1"/>
    <xf numFmtId="166" fontId="22" fillId="10" borderId="13" xfId="12" applyNumberFormat="1" applyFont="1" applyFill="1" applyBorder="1"/>
    <xf numFmtId="0" fontId="22" fillId="0" borderId="0" xfId="12" applyFont="1"/>
    <xf numFmtId="166" fontId="13" fillId="0" borderId="0" xfId="11" applyFont="1" applyBorder="1" applyAlignment="1"/>
    <xf numFmtId="166" fontId="22" fillId="0" borderId="0" xfId="11" applyFont="1" applyFill="1" applyBorder="1" applyAlignment="1"/>
    <xf numFmtId="166" fontId="13" fillId="11" borderId="0" xfId="11" applyFont="1" applyFill="1" applyAlignment="1"/>
    <xf numFmtId="166" fontId="22" fillId="0" borderId="0" xfId="11" applyFont="1" applyAlignment="1"/>
    <xf numFmtId="166" fontId="13" fillId="0" borderId="0" xfId="11" applyFont="1" applyAlignment="1"/>
    <xf numFmtId="166" fontId="30" fillId="0" borderId="0" xfId="9" applyNumberFormat="1" applyFont="1" applyAlignment="1"/>
    <xf numFmtId="166" fontId="30" fillId="11" borderId="13" xfId="11" applyFont="1" applyFill="1" applyBorder="1" applyAlignment="1"/>
    <xf numFmtId="166" fontId="22" fillId="10" borderId="0" xfId="11" applyFont="1" applyFill="1" applyBorder="1" applyAlignment="1"/>
    <xf numFmtId="0" fontId="30" fillId="0" borderId="53" xfId="10" applyFont="1" applyBorder="1" applyAlignment="1">
      <alignment horizontal="left"/>
    </xf>
    <xf numFmtId="9" fontId="30" fillId="0" borderId="52" xfId="9" applyFont="1" applyBorder="1" applyAlignment="1">
      <alignment horizontal="center"/>
    </xf>
    <xf numFmtId="0" fontId="32" fillId="0" borderId="52" xfId="12" applyFont="1" applyBorder="1"/>
    <xf numFmtId="0" fontId="13" fillId="0" borderId="54" xfId="10" applyFont="1" applyBorder="1" applyAlignment="1">
      <alignment horizontal="left"/>
    </xf>
    <xf numFmtId="0" fontId="13" fillId="0" borderId="55" xfId="10" applyFont="1" applyBorder="1" applyAlignment="1">
      <alignment horizontal="left"/>
    </xf>
    <xf numFmtId="9" fontId="54" fillId="17" borderId="0" xfId="0" applyNumberFormat="1" applyFont="1" applyFill="1" applyAlignment="1">
      <alignment horizontal="center"/>
    </xf>
    <xf numFmtId="9" fontId="30" fillId="0" borderId="54" xfId="9" applyFont="1" applyBorder="1" applyAlignment="1">
      <alignment horizontal="center"/>
    </xf>
    <xf numFmtId="166" fontId="13" fillId="0" borderId="54" xfId="12" applyNumberFormat="1" applyFont="1" applyBorder="1" applyAlignment="1">
      <alignment horizontal="center"/>
    </xf>
    <xf numFmtId="0" fontId="13" fillId="0" borderId="51" xfId="12" applyFont="1" applyBorder="1" applyAlignment="1">
      <alignment horizontal="center"/>
    </xf>
    <xf numFmtId="0" fontId="30" fillId="0" borderId="54" xfId="12" applyFont="1" applyBorder="1" applyAlignment="1">
      <alignment horizontal="left"/>
    </xf>
    <xf numFmtId="0" fontId="32" fillId="0" borderId="54" xfId="12" applyFont="1" applyBorder="1"/>
    <xf numFmtId="43" fontId="13" fillId="0" borderId="54" xfId="12" applyNumberFormat="1" applyFont="1" applyBorder="1" applyAlignment="1">
      <alignment horizontal="center"/>
    </xf>
    <xf numFmtId="0" fontId="13" fillId="0" borderId="54" xfId="12" applyFont="1" applyBorder="1" applyAlignment="1">
      <alignment horizontal="center"/>
    </xf>
    <xf numFmtId="9" fontId="13" fillId="0" borderId="54" xfId="9" applyFont="1" applyBorder="1" applyAlignment="1">
      <alignment horizontal="center"/>
    </xf>
    <xf numFmtId="0" fontId="4" fillId="0" borderId="0" xfId="12" applyFont="1" applyAlignment="1">
      <alignment vertical="center"/>
    </xf>
    <xf numFmtId="166" fontId="4" fillId="0" borderId="10" xfId="1" applyFont="1" applyBorder="1" applyAlignment="1" applyProtection="1">
      <alignment horizontal="left" shrinkToFit="1"/>
      <protection locked="0"/>
    </xf>
    <xf numFmtId="0" fontId="4" fillId="0" borderId="48"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49"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50" xfId="0" applyFont="1" applyBorder="1" applyAlignment="1" applyProtection="1">
      <alignment horizontal="center"/>
      <protection locked="0"/>
    </xf>
    <xf numFmtId="166" fontId="13" fillId="18" borderId="13" xfId="1" applyFont="1" applyFill="1" applyBorder="1" applyAlignment="1"/>
    <xf numFmtId="166" fontId="22" fillId="10" borderId="0" xfId="11" applyFont="1" applyFill="1" applyBorder="1"/>
    <xf numFmtId="0" fontId="8" fillId="19" borderId="13" xfId="12" applyFont="1" applyFill="1" applyBorder="1" applyAlignment="1">
      <alignment horizontal="center" vertical="center"/>
    </xf>
    <xf numFmtId="166" fontId="8" fillId="19" borderId="13" xfId="11" applyFont="1" applyFill="1" applyBorder="1" applyAlignment="1">
      <alignment horizontal="center" vertical="center"/>
    </xf>
    <xf numFmtId="0" fontId="8" fillId="19" borderId="52" xfId="12" applyFont="1" applyFill="1" applyBorder="1" applyAlignment="1">
      <alignment horizontal="center" vertical="center"/>
    </xf>
    <xf numFmtId="0" fontId="37" fillId="19" borderId="12" xfId="12" applyFont="1" applyFill="1" applyBorder="1"/>
    <xf numFmtId="0" fontId="37" fillId="19" borderId="19" xfId="12" applyFont="1" applyFill="1" applyBorder="1"/>
    <xf numFmtId="0" fontId="37" fillId="19" borderId="20" xfId="12" applyFont="1" applyFill="1" applyBorder="1"/>
    <xf numFmtId="0" fontId="8" fillId="19" borderId="54" xfId="12" applyFont="1" applyFill="1" applyBorder="1" applyAlignment="1">
      <alignment horizontal="center" vertical="center"/>
    </xf>
    <xf numFmtId="166" fontId="8" fillId="19" borderId="54" xfId="11" applyFont="1" applyFill="1" applyBorder="1" applyAlignment="1">
      <alignment horizontal="center" vertical="center"/>
    </xf>
    <xf numFmtId="0" fontId="8" fillId="19" borderId="54" xfId="12" applyFont="1" applyFill="1" applyBorder="1" applyAlignment="1">
      <alignment horizontal="center" vertical="center" wrapText="1"/>
    </xf>
    <xf numFmtId="0" fontId="8" fillId="19" borderId="51" xfId="12" applyFont="1" applyFill="1" applyBorder="1" applyAlignment="1">
      <alignment horizontal="center" vertical="center"/>
    </xf>
    <xf numFmtId="166" fontId="4" fillId="0" borderId="4" xfId="1" applyFont="1" applyFill="1" applyBorder="1" applyAlignment="1">
      <alignment horizontal="center"/>
    </xf>
    <xf numFmtId="166" fontId="10" fillId="0" borderId="4" xfId="1" applyFont="1" applyFill="1" applyBorder="1" applyAlignment="1" applyProtection="1">
      <alignment horizontal="center" vertical="center" shrinkToFit="1"/>
      <protection locked="0"/>
    </xf>
    <xf numFmtId="166" fontId="47" fillId="20" borderId="4" xfId="1" applyFont="1" applyFill="1" applyBorder="1" applyAlignment="1" applyProtection="1">
      <alignment horizontal="center" vertical="center" wrapText="1"/>
      <protection locked="0"/>
    </xf>
    <xf numFmtId="0" fontId="48" fillId="4" borderId="4" xfId="8" applyFont="1" applyBorder="1" applyAlignment="1" applyProtection="1">
      <alignment horizontal="center" vertical="center" wrapText="1"/>
      <protection locked="0"/>
    </xf>
    <xf numFmtId="0" fontId="51" fillId="21" borderId="22" xfId="0" applyFont="1" applyFill="1" applyBorder="1" applyAlignment="1">
      <alignment horizontal="center" vertical="center" wrapText="1"/>
    </xf>
    <xf numFmtId="17" fontId="10" fillId="0" borderId="7" xfId="1" quotePrefix="1" applyNumberFormat="1" applyFont="1" applyBorder="1" applyAlignment="1" applyProtection="1">
      <alignment horizontal="center" vertical="center" shrinkToFit="1"/>
      <protection locked="0"/>
    </xf>
    <xf numFmtId="0" fontId="55" fillId="0" borderId="10" xfId="0" applyFont="1" applyBorder="1" applyAlignment="1" applyProtection="1">
      <alignment horizontal="center"/>
      <protection locked="0"/>
    </xf>
    <xf numFmtId="0" fontId="55" fillId="0" borderId="14" xfId="0" applyFont="1" applyBorder="1" applyAlignment="1" applyProtection="1">
      <alignment horizontal="center"/>
      <protection locked="0"/>
    </xf>
    <xf numFmtId="166" fontId="10" fillId="0" borderId="6" xfId="1" applyFont="1" applyBorder="1" applyAlignment="1" applyProtection="1">
      <alignment shrinkToFit="1"/>
      <protection locked="0"/>
    </xf>
    <xf numFmtId="0" fontId="10" fillId="12" borderId="27"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166" fontId="13" fillId="0" borderId="54" xfId="9" applyNumberFormat="1" applyFont="1" applyBorder="1" applyAlignment="1">
      <alignment horizontal="center"/>
    </xf>
    <xf numFmtId="166" fontId="13" fillId="0" borderId="54" xfId="11" applyFont="1" applyBorder="1" applyAlignment="1"/>
    <xf numFmtId="166" fontId="13" fillId="0" borderId="54" xfId="11" applyFont="1" applyFill="1" applyBorder="1" applyAlignment="1"/>
    <xf numFmtId="166" fontId="13" fillId="0" borderId="54" xfId="1" applyFont="1" applyBorder="1" applyAlignment="1"/>
    <xf numFmtId="166" fontId="13" fillId="0" borderId="54" xfId="12" applyNumberFormat="1" applyFont="1" applyBorder="1"/>
    <xf numFmtId="166" fontId="13" fillId="18" borderId="54" xfId="9" applyNumberFormat="1" applyFont="1" applyFill="1" applyBorder="1" applyAlignment="1"/>
    <xf numFmtId="166" fontId="13" fillId="0" borderId="54" xfId="9" applyNumberFormat="1" applyFont="1" applyFill="1" applyBorder="1" applyAlignment="1">
      <alignment horizontal="center"/>
    </xf>
    <xf numFmtId="0" fontId="23" fillId="0" borderId="54" xfId="12" applyFont="1" applyBorder="1"/>
    <xf numFmtId="10" fontId="13" fillId="0" borderId="54" xfId="9" applyNumberFormat="1" applyFont="1" applyBorder="1" applyAlignment="1">
      <alignment horizontal="center"/>
    </xf>
    <xf numFmtId="166" fontId="22" fillId="0" borderId="54" xfId="11" applyFont="1" applyFill="1" applyBorder="1" applyAlignment="1"/>
    <xf numFmtId="166" fontId="22" fillId="10" borderId="54" xfId="11" applyFont="1" applyFill="1" applyBorder="1" applyAlignment="1"/>
    <xf numFmtId="0" fontId="13" fillId="0" borderId="54" xfId="12" applyFont="1" applyBorder="1"/>
    <xf numFmtId="0" fontId="55" fillId="0" borderId="4" xfId="6" applyFont="1" applyBorder="1" applyAlignment="1" applyProtection="1">
      <alignment horizontal="left" vertical="center" shrinkToFit="1"/>
      <protection locked="0"/>
    </xf>
    <xf numFmtId="166" fontId="10" fillId="0" borderId="6" xfId="1" applyFont="1" applyBorder="1" applyAlignment="1" applyProtection="1">
      <alignment horizontal="right" wrapText="1" shrinkToFit="1"/>
      <protection locked="0"/>
    </xf>
    <xf numFmtId="164" fontId="56" fillId="5" borderId="5" xfId="10" applyNumberFormat="1" applyFont="1" applyFill="1" applyBorder="1" applyAlignment="1">
      <alignment horizontal="center" wrapText="1"/>
    </xf>
    <xf numFmtId="0" fontId="36" fillId="0" borderId="4" xfId="6" applyFont="1" applyBorder="1" applyAlignment="1" applyProtection="1">
      <alignment horizontal="left" wrapText="1" shrinkToFit="1"/>
      <protection locked="0"/>
    </xf>
    <xf numFmtId="166"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30"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31" xfId="6" applyFont="1" applyBorder="1" applyAlignment="1" applyProtection="1">
      <alignment horizontal="center"/>
      <protection locked="0"/>
    </xf>
    <xf numFmtId="0" fontId="41" fillId="5" borderId="32"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7" fillId="4" borderId="25" xfId="8" applyFont="1" applyBorder="1" applyAlignment="1" applyProtection="1">
      <alignment horizontal="center" vertical="center" wrapText="1"/>
      <protection locked="0"/>
    </xf>
    <xf numFmtId="0" fontId="47" fillId="4" borderId="26" xfId="8" applyFont="1" applyBorder="1" applyAlignment="1" applyProtection="1">
      <alignment horizontal="center" vertical="center" wrapText="1"/>
      <protection locked="0"/>
    </xf>
    <xf numFmtId="166" fontId="47" fillId="4" borderId="27" xfId="1" applyFont="1" applyFill="1" applyBorder="1" applyAlignment="1" applyProtection="1">
      <alignment horizontal="center" vertical="center" wrapText="1"/>
      <protection locked="0"/>
    </xf>
    <xf numFmtId="0" fontId="47" fillId="4" borderId="27" xfId="1" applyNumberFormat="1" applyFont="1" applyFill="1" applyBorder="1" applyAlignment="1" applyProtection="1">
      <alignment horizontal="center" vertical="center" wrapText="1"/>
      <protection locked="0"/>
    </xf>
    <xf numFmtId="166" fontId="47" fillId="12" borderId="27" xfId="1" applyFont="1" applyFill="1" applyBorder="1" applyAlignment="1" applyProtection="1">
      <alignment horizontal="center" vertical="center" wrapText="1"/>
      <protection locked="0"/>
    </xf>
    <xf numFmtId="0" fontId="4" fillId="0" borderId="21" xfId="0" applyFont="1" applyBorder="1" applyAlignment="1" applyProtection="1">
      <alignment horizontal="center"/>
      <protection locked="0"/>
    </xf>
    <xf numFmtId="43" fontId="4" fillId="0" borderId="4" xfId="1" applyNumberFormat="1" applyFont="1" applyBorder="1" applyAlignment="1" applyProtection="1">
      <protection locked="0"/>
    </xf>
    <xf numFmtId="166" fontId="4" fillId="0" borderId="4" xfId="1" applyFont="1" applyBorder="1" applyAlignment="1" applyProtection="1">
      <protection locked="0"/>
    </xf>
    <xf numFmtId="0" fontId="4" fillId="5" borderId="29" xfId="6" applyFont="1" applyFill="1" applyBorder="1" applyAlignment="1" applyProtection="1">
      <alignment horizontal="center"/>
      <protection locked="0"/>
    </xf>
    <xf numFmtId="0" fontId="4" fillId="5" borderId="3" xfId="6" applyFont="1" applyFill="1" applyBorder="1" applyAlignment="1" applyProtection="1">
      <alignment horizontal="center"/>
      <protection locked="0"/>
    </xf>
    <xf numFmtId="4" fontId="4" fillId="3" borderId="4" xfId="7" applyNumberFormat="1" applyFont="1" applyBorder="1" applyAlignment="1" applyProtection="1">
      <protection hidden="1"/>
    </xf>
    <xf numFmtId="0" fontId="4" fillId="0" borderId="0" xfId="6" applyFont="1" applyBorder="1" applyAlignment="1" applyProtection="1">
      <protection locked="0"/>
    </xf>
    <xf numFmtId="0" fontId="4" fillId="0" borderId="4" xfId="6" applyFont="1" applyBorder="1" applyAlignment="1" applyProtection="1">
      <alignment horizontal="left" shrinkToFit="1"/>
      <protection locked="0"/>
    </xf>
    <xf numFmtId="0" fontId="4" fillId="0" borderId="4" xfId="6" applyFont="1" applyFill="1" applyBorder="1" applyAlignment="1" applyProtection="1">
      <alignment horizontal="center" shrinkToFit="1"/>
      <protection locked="0"/>
    </xf>
    <xf numFmtId="0" fontId="10" fillId="0" borderId="25" xfId="6" applyFont="1" applyBorder="1" applyAlignment="1" applyProtection="1">
      <alignment horizontal="center"/>
      <protection locked="0"/>
    </xf>
    <xf numFmtId="0" fontId="10" fillId="11" borderId="26" xfId="6" applyFont="1" applyFill="1" applyBorder="1" applyAlignment="1" applyProtection="1">
      <alignment horizontal="center"/>
      <protection locked="0"/>
    </xf>
    <xf numFmtId="0" fontId="10" fillId="0" borderId="27" xfId="6" applyFont="1" applyBorder="1" applyAlignment="1" applyProtection="1">
      <alignment shrinkToFit="1"/>
      <protection locked="0"/>
    </xf>
    <xf numFmtId="0" fontId="10" fillId="0" borderId="27" xfId="6" applyFont="1" applyBorder="1" applyAlignment="1" applyProtection="1">
      <alignment horizontal="center" shrinkToFit="1"/>
      <protection locked="0"/>
    </xf>
    <xf numFmtId="166" fontId="10" fillId="0" borderId="27" xfId="1" applyFont="1" applyBorder="1" applyAlignment="1" applyProtection="1">
      <alignment horizontal="center" shrinkToFit="1"/>
      <protection locked="0"/>
    </xf>
    <xf numFmtId="17" fontId="10" fillId="0" borderId="59" xfId="1" quotePrefix="1" applyNumberFormat="1" applyFont="1" applyBorder="1" applyAlignment="1" applyProtection="1">
      <alignment horizontal="center" shrinkToFit="1"/>
      <protection locked="0"/>
    </xf>
    <xf numFmtId="166" fontId="10" fillId="0" borderId="59" xfId="1" applyFont="1" applyBorder="1" applyAlignment="1" applyProtection="1">
      <alignment horizontal="center" shrinkToFit="1"/>
      <protection locked="0"/>
    </xf>
    <xf numFmtId="166" fontId="10" fillId="0" borderId="27" xfId="1" applyFont="1" applyBorder="1" applyAlignment="1" applyProtection="1">
      <alignment shrinkToFit="1"/>
      <protection locked="0"/>
    </xf>
    <xf numFmtId="43" fontId="4" fillId="5" borderId="59" xfId="1" applyNumberFormat="1" applyFont="1" applyFill="1" applyBorder="1" applyAlignment="1" applyProtection="1">
      <protection locked="0"/>
    </xf>
    <xf numFmtId="166" fontId="10" fillId="0" borderId="59" xfId="1" applyFont="1" applyBorder="1" applyAlignment="1" applyProtection="1">
      <alignment shrinkToFit="1"/>
      <protection locked="0"/>
    </xf>
    <xf numFmtId="43" fontId="4" fillId="5" borderId="27" xfId="1" applyNumberFormat="1" applyFont="1" applyFill="1" applyBorder="1" applyAlignment="1" applyProtection="1">
      <protection locked="0"/>
    </xf>
    <xf numFmtId="166" fontId="10" fillId="0" borderId="27" xfId="1" applyFont="1" applyBorder="1" applyAlignment="1" applyProtection="1">
      <alignment horizontal="right" wrapText="1" shrinkToFit="1"/>
      <protection locked="0"/>
    </xf>
    <xf numFmtId="4" fontId="10" fillId="3" borderId="27" xfId="7" applyNumberFormat="1" applyFont="1" applyBorder="1" applyAlignment="1" applyProtection="1">
      <protection hidden="1"/>
    </xf>
    <xf numFmtId="0" fontId="4" fillId="0" borderId="59" xfId="0" applyFont="1" applyBorder="1" applyAlignment="1" applyProtection="1">
      <alignment horizontal="center"/>
      <protection locked="0"/>
    </xf>
    <xf numFmtId="4" fontId="4" fillId="0" borderId="27" xfId="7" applyNumberFormat="1" applyFont="1" applyFill="1" applyBorder="1" applyAlignment="1" applyProtection="1">
      <alignment horizontal="center"/>
      <protection hidden="1"/>
    </xf>
    <xf numFmtId="4" fontId="10" fillId="11" borderId="60" xfId="7" applyNumberFormat="1" applyFont="1" applyFill="1" applyBorder="1" applyAlignment="1" applyProtection="1">
      <alignment horizontal="center"/>
      <protection hidden="1"/>
    </xf>
    <xf numFmtId="0" fontId="4" fillId="0" borderId="60" xfId="0" applyFont="1" applyBorder="1" applyProtection="1">
      <protection locked="0"/>
    </xf>
    <xf numFmtId="0" fontId="4" fillId="0" borderId="46" xfId="0" applyFont="1" applyBorder="1" applyProtection="1">
      <protection locked="0"/>
    </xf>
    <xf numFmtId="0" fontId="4" fillId="5" borderId="33" xfId="6" applyFont="1" applyFill="1" applyBorder="1" applyAlignment="1" applyProtection="1">
      <alignment horizontal="center"/>
      <protection locked="0"/>
    </xf>
    <xf numFmtId="0" fontId="4" fillId="5" borderId="34" xfId="6" applyFont="1" applyFill="1" applyBorder="1" applyAlignment="1" applyProtection="1">
      <alignment horizontal="center"/>
      <protection locked="0"/>
    </xf>
    <xf numFmtId="49" fontId="4" fillId="0" borderId="35" xfId="6" applyNumberFormat="1" applyFont="1" applyBorder="1" applyAlignment="1" applyProtection="1">
      <alignment horizontal="left" shrinkToFit="1"/>
      <protection locked="0"/>
    </xf>
    <xf numFmtId="49" fontId="4" fillId="0" borderId="35" xfId="6" applyNumberFormat="1" applyFont="1" applyBorder="1" applyAlignment="1" applyProtection="1">
      <alignment horizontal="center" shrinkToFit="1"/>
      <protection locked="0"/>
    </xf>
    <xf numFmtId="166" fontId="4" fillId="0" borderId="35" xfId="1" applyFont="1" applyBorder="1" applyAlignment="1" applyProtection="1">
      <alignment horizontal="center" shrinkToFit="1"/>
      <protection locked="0"/>
    </xf>
    <xf numFmtId="0" fontId="4" fillId="0" borderId="35" xfId="1" applyNumberFormat="1" applyFont="1" applyBorder="1" applyAlignment="1" applyProtection="1">
      <alignment horizontal="center" shrinkToFit="1"/>
      <protection locked="0"/>
    </xf>
    <xf numFmtId="166" fontId="4" fillId="0" borderId="35" xfId="1" applyFont="1" applyBorder="1" applyAlignment="1" applyProtection="1">
      <alignment horizontal="left" shrinkToFit="1"/>
      <protection locked="0"/>
    </xf>
    <xf numFmtId="4" fontId="4" fillId="0" borderId="35" xfId="1" applyNumberFormat="1" applyFont="1" applyBorder="1" applyAlignment="1" applyProtection="1">
      <protection locked="0"/>
    </xf>
    <xf numFmtId="4" fontId="4" fillId="3" borderId="35" xfId="7" applyNumberFormat="1" applyFont="1" applyBorder="1" applyAlignment="1" applyProtection="1">
      <protection hidden="1"/>
    </xf>
    <xf numFmtId="14" fontId="4" fillId="0" borderId="35" xfId="0" applyNumberFormat="1" applyFont="1" applyBorder="1" applyAlignment="1" applyProtection="1">
      <alignment horizontal="center"/>
      <protection locked="0"/>
    </xf>
    <xf numFmtId="4" fontId="4" fillId="11" borderId="35" xfId="7" applyNumberFormat="1" applyFont="1" applyFill="1" applyBorder="1" applyAlignment="1" applyProtection="1">
      <alignment horizontal="center"/>
      <protection hidden="1"/>
    </xf>
    <xf numFmtId="4" fontId="4" fillId="11" borderId="61" xfId="7" applyNumberFormat="1" applyFont="1" applyFill="1" applyBorder="1" applyAlignment="1" applyProtection="1">
      <alignment horizontal="center"/>
      <protection hidden="1"/>
    </xf>
    <xf numFmtId="14" fontId="4" fillId="0" borderId="61" xfId="0" applyNumberFormat="1" applyFont="1" applyBorder="1" applyProtection="1">
      <protection locked="0"/>
    </xf>
    <xf numFmtId="0" fontId="57" fillId="14" borderId="27" xfId="0" applyFont="1" applyFill="1" applyBorder="1" applyAlignment="1">
      <alignment horizontal="center" vertical="center" wrapText="1"/>
    </xf>
    <xf numFmtId="0" fontId="40" fillId="15" borderId="62" xfId="0" applyFont="1" applyFill="1" applyBorder="1" applyAlignment="1">
      <alignment horizontal="center" vertical="center" wrapText="1"/>
    </xf>
    <xf numFmtId="0" fontId="40" fillId="14" borderId="62" xfId="0" applyFont="1" applyFill="1" applyBorder="1" applyAlignment="1">
      <alignment horizontal="center" vertical="center" wrapText="1"/>
    </xf>
    <xf numFmtId="0" fontId="41" fillId="5" borderId="33" xfId="6" applyFont="1" applyFill="1" applyBorder="1" applyAlignment="1" applyProtection="1">
      <alignment horizontal="center"/>
      <protection locked="0"/>
    </xf>
    <xf numFmtId="0" fontId="41" fillId="5" borderId="34" xfId="6" applyFont="1" applyFill="1" applyBorder="1" applyAlignment="1" applyProtection="1">
      <alignment horizontal="center"/>
      <protection locked="0"/>
    </xf>
    <xf numFmtId="49" fontId="36" fillId="0" borderId="35" xfId="6" applyNumberFormat="1" applyFont="1" applyBorder="1" applyAlignment="1" applyProtection="1">
      <alignment horizontal="left" shrinkToFit="1"/>
      <protection locked="0"/>
    </xf>
    <xf numFmtId="0" fontId="10" fillId="0" borderId="35" xfId="1" applyNumberFormat="1" applyFont="1" applyBorder="1" applyAlignment="1" applyProtection="1">
      <alignment horizontal="center" shrinkToFit="1"/>
      <protection locked="0"/>
    </xf>
    <xf numFmtId="4" fontId="10" fillId="3" borderId="35" xfId="7" applyNumberFormat="1" applyFont="1" applyBorder="1" applyAlignment="1" applyProtection="1">
      <protection hidden="1"/>
    </xf>
    <xf numFmtId="4" fontId="10" fillId="11" borderId="35" xfId="7" applyNumberFormat="1" applyFont="1" applyFill="1" applyBorder="1" applyAlignment="1" applyProtection="1">
      <alignment horizontal="center"/>
      <protection hidden="1"/>
    </xf>
    <xf numFmtId="4" fontId="10" fillId="11" borderId="61" xfId="7" applyNumberFormat="1" applyFont="1" applyFill="1" applyBorder="1" applyAlignment="1" applyProtection="1">
      <alignment horizontal="center"/>
      <protection hidden="1"/>
    </xf>
    <xf numFmtId="0" fontId="10" fillId="0" borderId="63" xfId="6" applyFont="1" applyBorder="1" applyAlignment="1" applyProtection="1">
      <alignment horizontal="center"/>
      <protection locked="0"/>
    </xf>
    <xf numFmtId="0" fontId="10" fillId="0" borderId="64" xfId="6" applyFont="1" applyBorder="1" applyAlignment="1" applyProtection="1">
      <alignment horizontal="center"/>
      <protection locked="0"/>
    </xf>
    <xf numFmtId="0" fontId="10" fillId="0" borderId="65" xfId="6" applyFont="1" applyBorder="1" applyAlignment="1" applyProtection="1">
      <alignment shrinkToFit="1"/>
      <protection locked="0"/>
    </xf>
    <xf numFmtId="166" fontId="10" fillId="0" borderId="65" xfId="1" applyFont="1" applyBorder="1" applyAlignment="1" applyProtection="1">
      <alignment horizontal="center" shrinkToFit="1"/>
      <protection locked="0"/>
    </xf>
    <xf numFmtId="17" fontId="10" fillId="0" borderId="65" xfId="1" applyNumberFormat="1" applyFont="1" applyBorder="1" applyAlignment="1" applyProtection="1">
      <alignment horizontal="center" shrinkToFit="1"/>
      <protection locked="0"/>
    </xf>
    <xf numFmtId="166" fontId="10" fillId="0" borderId="4" xfId="1" applyFont="1" applyBorder="1" applyAlignment="1" applyProtection="1">
      <alignment shrinkToFit="1"/>
      <protection locked="0"/>
    </xf>
    <xf numFmtId="166" fontId="10" fillId="0" borderId="65" xfId="1" applyFont="1" applyFill="1" applyBorder="1" applyAlignment="1" applyProtection="1">
      <alignment horizontal="center" shrinkToFit="1"/>
      <protection locked="0"/>
    </xf>
    <xf numFmtId="43" fontId="4" fillId="5" borderId="65" xfId="1" applyNumberFormat="1" applyFont="1" applyFill="1" applyBorder="1" applyAlignment="1" applyProtection="1">
      <protection locked="0"/>
    </xf>
    <xf numFmtId="166" fontId="10" fillId="0" borderId="65" xfId="1" applyFont="1" applyBorder="1" applyAlignment="1" applyProtection="1">
      <alignment shrinkToFit="1"/>
      <protection locked="0"/>
    </xf>
    <xf numFmtId="166" fontId="10" fillId="0" borderId="4" xfId="1" applyFont="1" applyBorder="1" applyAlignment="1" applyProtection="1">
      <alignment horizontal="right" wrapText="1" shrinkToFit="1"/>
      <protection locked="0"/>
    </xf>
    <xf numFmtId="0" fontId="4" fillId="0" borderId="65" xfId="0" applyFont="1" applyBorder="1" applyAlignment="1" applyProtection="1">
      <alignment horizontal="center"/>
      <protection locked="0"/>
    </xf>
    <xf numFmtId="4" fontId="10" fillId="11" borderId="65" xfId="7" applyNumberFormat="1" applyFont="1" applyFill="1" applyBorder="1" applyAlignment="1" applyProtection="1">
      <alignment horizontal="center"/>
      <protection hidden="1"/>
    </xf>
    <xf numFmtId="0" fontId="4" fillId="0" borderId="66" xfId="0" applyFont="1" applyBorder="1" applyAlignment="1" applyProtection="1">
      <alignment horizontal="center"/>
      <protection locked="0"/>
    </xf>
    <xf numFmtId="0" fontId="4" fillId="0" borderId="67" xfId="6" applyFont="1" applyBorder="1" applyAlignment="1" applyProtection="1">
      <alignment horizontal="center"/>
      <protection locked="0"/>
    </xf>
    <xf numFmtId="0" fontId="4" fillId="0" borderId="68" xfId="6" applyFont="1" applyBorder="1" applyAlignment="1" applyProtection="1">
      <alignment horizontal="center"/>
      <protection locked="0"/>
    </xf>
    <xf numFmtId="0" fontId="10" fillId="0" borderId="59" xfId="6" applyFont="1" applyBorder="1" applyAlignment="1" applyProtection="1">
      <alignment shrinkToFit="1"/>
      <protection locked="0"/>
    </xf>
    <xf numFmtId="0" fontId="4" fillId="0" borderId="69" xfId="0" applyFont="1" applyBorder="1" applyAlignment="1" applyProtection="1">
      <alignment horizontal="center"/>
      <protection locked="0"/>
    </xf>
    <xf numFmtId="0" fontId="4" fillId="0" borderId="45" xfId="0" applyFont="1" applyBorder="1" applyAlignment="1" applyProtection="1">
      <alignment horizontal="center"/>
      <protection locked="0"/>
    </xf>
    <xf numFmtId="0" fontId="36" fillId="0" borderId="35" xfId="6" applyFont="1" applyBorder="1" applyAlignment="1" applyProtection="1">
      <alignment horizontal="left" shrinkToFit="1"/>
      <protection locked="0"/>
    </xf>
    <xf numFmtId="0" fontId="4" fillId="0" borderId="35" xfId="6" applyFont="1" applyBorder="1" applyAlignment="1" applyProtection="1">
      <alignment horizontal="center" shrinkToFit="1"/>
      <protection locked="0"/>
    </xf>
    <xf numFmtId="0" fontId="10" fillId="0" borderId="35" xfId="6" applyFont="1" applyBorder="1" applyAlignment="1" applyProtection="1">
      <alignment horizontal="center" shrinkToFit="1"/>
      <protection locked="0"/>
    </xf>
    <xf numFmtId="166" fontId="10" fillId="0" borderId="35" xfId="1" applyFont="1" applyBorder="1" applyAlignment="1" applyProtection="1">
      <alignment horizontal="center" shrinkToFit="1"/>
      <protection locked="0"/>
    </xf>
    <xf numFmtId="4" fontId="10" fillId="0" borderId="35" xfId="1" applyNumberFormat="1" applyFont="1" applyBorder="1" applyAlignment="1" applyProtection="1">
      <protection locked="0"/>
    </xf>
    <xf numFmtId="14" fontId="4" fillId="0" borderId="61" xfId="0" applyNumberFormat="1" applyFont="1" applyBorder="1" applyAlignment="1" applyProtection="1">
      <alignment horizontal="center"/>
      <protection locked="0"/>
    </xf>
    <xf numFmtId="0" fontId="10" fillId="10" borderId="0" xfId="6" applyFont="1" applyFill="1" applyBorder="1" applyAlignment="1" applyProtection="1">
      <protection locked="0"/>
    </xf>
    <xf numFmtId="4" fontId="4" fillId="10" borderId="27" xfId="7" applyNumberFormat="1" applyFont="1" applyFill="1" applyBorder="1" applyAlignment="1" applyProtection="1">
      <alignment horizontal="center"/>
      <protection hidden="1"/>
    </xf>
    <xf numFmtId="17" fontId="4" fillId="0" borderId="4" xfId="1" applyNumberFormat="1" applyFont="1" applyBorder="1" applyAlignment="1" applyProtection="1">
      <alignment horizontal="center" shrinkToFit="1"/>
      <protection locked="0"/>
    </xf>
    <xf numFmtId="1" fontId="10" fillId="11" borderId="11" xfId="6" quotePrefix="1" applyNumberFormat="1" applyFont="1" applyFill="1" applyBorder="1" applyAlignment="1" applyProtection="1">
      <alignment horizontal="center" vertical="center"/>
      <protection locked="0"/>
    </xf>
    <xf numFmtId="0" fontId="4" fillId="10" borderId="7" xfId="0" applyFont="1" applyFill="1" applyBorder="1" applyAlignment="1" applyProtection="1">
      <alignment horizontal="center"/>
      <protection locked="0"/>
    </xf>
    <xf numFmtId="1" fontId="10" fillId="11" borderId="16" xfId="6" quotePrefix="1" applyNumberFormat="1" applyFont="1" applyFill="1" applyBorder="1" applyAlignment="1" applyProtection="1">
      <alignment horizontal="center" vertical="center"/>
      <protection locked="0"/>
    </xf>
    <xf numFmtId="0" fontId="8" fillId="19" borderId="56" xfId="12" applyFont="1" applyFill="1" applyBorder="1" applyAlignment="1">
      <alignment horizontal="center" vertical="center"/>
    </xf>
    <xf numFmtId="0" fontId="8" fillId="19" borderId="57" xfId="12" applyFont="1" applyFill="1" applyBorder="1" applyAlignment="1">
      <alignment horizontal="center" vertical="center"/>
    </xf>
    <xf numFmtId="0" fontId="8" fillId="19" borderId="58" xfId="12" applyFont="1" applyFill="1" applyBorder="1" applyAlignment="1">
      <alignment horizontal="center" vertical="center"/>
    </xf>
    <xf numFmtId="0" fontId="8" fillId="19" borderId="23" xfId="12" applyFont="1" applyFill="1" applyBorder="1" applyAlignment="1">
      <alignment horizontal="center" vertical="center"/>
    </xf>
    <xf numFmtId="0" fontId="8" fillId="19" borderId="18" xfId="12" applyFont="1" applyFill="1" applyBorder="1" applyAlignment="1">
      <alignment horizontal="center" vertical="center"/>
    </xf>
    <xf numFmtId="0" fontId="8" fillId="19" borderId="24" xfId="12" applyFont="1" applyFill="1" applyBorder="1" applyAlignment="1">
      <alignment horizontal="center" vertical="center"/>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wrapText="1"/>
    </xf>
    <xf numFmtId="0" fontId="13" fillId="5" borderId="21" xfId="10" applyFont="1" applyFill="1" applyBorder="1" applyAlignment="1">
      <alignment horizontal="center" vertical="top" wrapText="1"/>
    </xf>
    <xf numFmtId="0" fontId="8" fillId="19" borderId="54" xfId="12" applyFont="1" applyFill="1" applyBorder="1" applyAlignment="1">
      <alignment horizontal="center" vertical="center"/>
    </xf>
    <xf numFmtId="0" fontId="8" fillId="0" borderId="0" xfId="10" applyFont="1" applyAlignment="1">
      <alignment horizontal="left"/>
    </xf>
    <xf numFmtId="0" fontId="49" fillId="0" borderId="0" xfId="10" applyFont="1" applyAlignment="1">
      <alignment horizontal="left"/>
    </xf>
    <xf numFmtId="0" fontId="22" fillId="0" borderId="39" xfId="10" applyFont="1" applyBorder="1" applyAlignment="1">
      <alignment horizontal="center" vertical="top" wrapText="1"/>
    </xf>
    <xf numFmtId="0" fontId="22" fillId="0" borderId="4" xfId="10" applyFont="1" applyBorder="1" applyAlignment="1">
      <alignment horizontal="center" vertical="top" wrapText="1"/>
    </xf>
    <xf numFmtId="0" fontId="22" fillId="0" borderId="21"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38" xfId="10" applyFont="1" applyFill="1" applyBorder="1" applyAlignment="1">
      <alignment horizontal="center" vertical="top" wrapText="1"/>
    </xf>
    <xf numFmtId="0" fontId="22" fillId="5" borderId="43" xfId="10" applyFont="1" applyFill="1" applyBorder="1" applyAlignment="1">
      <alignment horizontal="center" vertical="top" wrapText="1"/>
    </xf>
    <xf numFmtId="0" fontId="22" fillId="5" borderId="54"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1" xfId="10" applyFont="1" applyFill="1" applyBorder="1" applyAlignment="1">
      <alignment horizontal="center" vertical="top"/>
    </xf>
    <xf numFmtId="164" fontId="13" fillId="5" borderId="5" xfId="10" applyNumberFormat="1" applyFont="1" applyFill="1" applyBorder="1" applyAlignment="1">
      <alignment horizontal="center" vertical="top" wrapText="1"/>
    </xf>
    <xf numFmtId="164" fontId="13" fillId="5" borderId="4" xfId="10" applyNumberFormat="1" applyFont="1" applyFill="1" applyBorder="1" applyAlignment="1">
      <alignment horizontal="center" vertical="top"/>
    </xf>
    <xf numFmtId="164" fontId="13" fillId="5" borderId="21" xfId="10" applyNumberFormat="1" applyFont="1" applyFill="1" applyBorder="1" applyAlignment="1">
      <alignment horizontal="center" vertical="top"/>
    </xf>
    <xf numFmtId="166" fontId="47" fillId="22" borderId="4" xfId="1" applyFont="1" applyFill="1" applyBorder="1" applyAlignment="1" applyProtection="1">
      <alignment horizontal="center" vertical="center" wrapText="1"/>
      <protection locked="0"/>
    </xf>
    <xf numFmtId="166" fontId="47" fillId="23" borderId="4" xfId="1" applyFont="1" applyFill="1" applyBorder="1" applyAlignment="1" applyProtection="1">
      <alignment horizontal="center" vertical="center" wrapText="1"/>
      <protection locked="0"/>
    </xf>
    <xf numFmtId="166" fontId="10" fillId="23" borderId="7" xfId="1" applyFont="1" applyFill="1" applyBorder="1" applyAlignment="1" applyProtection="1">
      <alignment vertical="center" shrinkToFit="1"/>
      <protection locked="0"/>
    </xf>
    <xf numFmtId="166" fontId="10" fillId="23" borderId="4" xfId="1" applyFont="1" applyFill="1" applyBorder="1" applyAlignment="1" applyProtection="1">
      <alignment vertical="center" shrinkToFit="1"/>
      <protection locked="0"/>
    </xf>
    <xf numFmtId="166" fontId="10" fillId="23" borderId="4" xfId="1" applyFont="1" applyFill="1" applyBorder="1" applyAlignment="1" applyProtection="1">
      <alignment horizontal="left" vertical="center" shrinkToFit="1"/>
      <protection locked="0"/>
    </xf>
    <xf numFmtId="166" fontId="6" fillId="23" borderId="36" xfId="1" applyFont="1" applyFill="1" applyBorder="1" applyAlignment="1" applyProtection="1">
      <alignment horizontal="center"/>
      <protection locked="0"/>
    </xf>
    <xf numFmtId="166" fontId="10" fillId="23" borderId="6" xfId="1" applyFont="1" applyFill="1" applyBorder="1" applyAlignment="1" applyProtection="1">
      <alignment vertical="center" shrinkToFit="1"/>
      <protection locked="0"/>
    </xf>
    <xf numFmtId="4" fontId="4" fillId="24" borderId="7" xfId="7" applyNumberFormat="1" applyFont="1" applyFill="1" applyBorder="1" applyProtection="1">
      <protection hidden="1"/>
    </xf>
    <xf numFmtId="4" fontId="10" fillId="24" borderId="10" xfId="7" applyNumberFormat="1" applyFont="1" applyFill="1" applyBorder="1" applyProtection="1">
      <protection hidden="1"/>
    </xf>
    <xf numFmtId="4" fontId="10" fillId="24" borderId="15" xfId="7" applyNumberFormat="1" applyFont="1" applyFill="1" applyBorder="1" applyProtection="1">
      <protection hidden="1"/>
    </xf>
    <xf numFmtId="0" fontId="30" fillId="0" borderId="54" xfId="10" applyFont="1" applyBorder="1" applyAlignment="1">
      <alignment horizontal="left"/>
    </xf>
    <xf numFmtId="166" fontId="31" fillId="8" borderId="54" xfId="11" applyFont="1" applyFill="1" applyBorder="1" applyAlignment="1"/>
    <xf numFmtId="166" fontId="30" fillId="5" borderId="54" xfId="11" applyFont="1" applyFill="1" applyBorder="1" applyAlignment="1"/>
    <xf numFmtId="0" fontId="30" fillId="0" borderId="62" xfId="10" applyFont="1" applyBorder="1" applyAlignment="1">
      <alignment horizontal="left"/>
    </xf>
    <xf numFmtId="166" fontId="31" fillId="5" borderId="54" xfId="11" applyFont="1" applyFill="1" applyBorder="1" applyAlignment="1"/>
    <xf numFmtId="0" fontId="30" fillId="5" borderId="54" xfId="10" applyFont="1" applyFill="1" applyBorder="1" applyAlignment="1">
      <alignment horizontal="left" wrapText="1"/>
    </xf>
    <xf numFmtId="0" fontId="31" fillId="5" borderId="54" xfId="11" applyNumberFormat="1" applyFont="1" applyFill="1" applyBorder="1" applyAlignment="1">
      <alignment horizontal="center"/>
    </xf>
    <xf numFmtId="166" fontId="31" fillId="0" borderId="13" xfId="11" applyFont="1" applyFill="1" applyBorder="1" applyAlignment="1"/>
    <xf numFmtId="9" fontId="30" fillId="0" borderId="51" xfId="9" applyFont="1" applyBorder="1" applyAlignment="1">
      <alignment horizontal="center"/>
    </xf>
    <xf numFmtId="0" fontId="30" fillId="0" borderId="62" xfId="12" applyFont="1" applyBorder="1" applyAlignment="1">
      <alignment horizontal="left"/>
    </xf>
    <xf numFmtId="166" fontId="10" fillId="0" borderId="6" xfId="1" applyFont="1" applyFill="1" applyBorder="1" applyAlignment="1" applyProtection="1">
      <alignment vertical="center" shrinkToFit="1"/>
      <protection locked="0"/>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92">
    <dxf>
      <font>
        <strike val="0"/>
        <outline val="0"/>
        <shadow val="0"/>
        <u val="none"/>
        <vertAlign val="baseline"/>
        <sz val="12"/>
        <name val="Arial"/>
        <family val="2"/>
        <scheme val="none"/>
      </font>
      <fill>
        <patternFill patternType="solid">
          <fgColor indexed="64"/>
          <bgColor theme="6" tint="0.79998168889431442"/>
        </patternFill>
      </fill>
    </dxf>
    <dxf>
      <font>
        <strike val="0"/>
        <outline val="0"/>
        <shadow val="0"/>
        <u val="none"/>
        <vertAlign val="baseline"/>
        <sz val="12"/>
        <name val="Arial"/>
        <family val="2"/>
        <scheme val="none"/>
      </font>
      <border outline="0">
        <left style="thin">
          <color indexed="64"/>
        </left>
      </border>
    </dxf>
    <dxf>
      <font>
        <strike val="0"/>
        <outline val="0"/>
        <shadow val="0"/>
        <u val="none"/>
        <vertAlign val="baseline"/>
        <sz val="12"/>
        <name val="Arial"/>
        <family val="2"/>
        <scheme val="none"/>
      </font>
      <border outline="0">
        <right style="thin">
          <color indexed="64"/>
        </right>
      </border>
    </dxf>
    <dxf>
      <font>
        <b val="0"/>
        <i val="0"/>
        <strike val="0"/>
        <condense val="0"/>
        <extend val="0"/>
        <outline val="0"/>
        <shadow val="0"/>
        <u val="none"/>
        <vertAlign val="baseline"/>
        <sz val="12"/>
        <color indexed="8"/>
        <name val="Arial"/>
        <family val="2"/>
        <scheme val="none"/>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border outline="0">
        <left style="thin">
          <color indexed="64"/>
        </left>
      </border>
    </dxf>
    <dxf>
      <font>
        <b val="0"/>
        <i val="0"/>
        <strike val="0"/>
        <condense val="0"/>
        <extend val="0"/>
        <outline val="0"/>
        <shadow val="0"/>
        <u val="none"/>
        <vertAlign val="baseline"/>
        <sz val="12"/>
        <color indexed="8"/>
        <name val="Arial"/>
        <family val="2"/>
        <scheme val="none"/>
      </font>
      <numFmt numFmtId="4" formatCode="#,##0.00"/>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fill>
        <patternFill patternType="solid">
          <fgColor indexed="64"/>
          <bgColor theme="6" tint="0.79998168889431442"/>
        </patternFill>
      </fill>
    </dxf>
    <dxf>
      <font>
        <strike val="0"/>
        <outline val="0"/>
        <shadow val="0"/>
        <u val="none"/>
        <vertAlign val="baseline"/>
        <sz val="12"/>
        <name val="Arial"/>
        <family val="2"/>
        <scheme val="none"/>
      </font>
      <alignment horizontal="center" textRotation="0" indent="0" justifyLastLine="0" readingOrder="0"/>
      <border outline="0">
        <left style="thin">
          <color indexed="64"/>
        </left>
      </border>
    </dxf>
    <dxf>
      <font>
        <b val="0"/>
        <i val="0"/>
        <strike val="0"/>
        <condense val="0"/>
        <extend val="0"/>
        <outline val="0"/>
        <shadow val="0"/>
        <u val="none"/>
        <vertAlign val="baseline"/>
        <sz val="12"/>
        <color indexed="8"/>
        <name val="Arial"/>
        <family val="2"/>
        <scheme val="none"/>
      </font>
      <numFmt numFmtId="0" formatCode="Genera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numFmt numFmtId="35" formatCode="_-* #,##0.00_-;\-* #,##0.00_-;_-* &quot;-&quot;??_-;_-@_-"/>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numFmt numFmtId="35" formatCode="_-* #,##0.00_-;\-* #,##0.00_-;_-* &quot;-&quot;??_-;_-@_-"/>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center"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2"/>
        <name val="Arial"/>
        <family val="2"/>
        <scheme val="none"/>
      </font>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Arial"/>
        <family val="2"/>
        <scheme val="none"/>
      </font>
      <alignment textRotation="0" indent="0" justifyLastLine="0" readingOrder="0"/>
      <border diagonalUp="0" diagonalDown="0" outline="0"/>
      <protection locked="0" hidden="0"/>
    </dxf>
    <dxf>
      <font>
        <strike val="0"/>
        <outline val="0"/>
        <shadow val="0"/>
        <u val="none"/>
        <vertAlign val="baseline"/>
        <sz val="14"/>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1358900</xdr:colOff>
      <xdr:row>53</xdr:row>
      <xdr:rowOff>140758</xdr:rowOff>
    </xdr:from>
    <xdr:to>
      <xdr:col>4</xdr:col>
      <xdr:colOff>428625</xdr:colOff>
      <xdr:row>54</xdr:row>
      <xdr:rowOff>15027</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263900" y="13256683"/>
          <a:ext cx="2946400" cy="45719"/>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a:t>
          </a:r>
          <a:r>
            <a:rPr lang="th-TH" sz="1600" b="1" baseline="0">
              <a:effectLst/>
              <a:latin typeface="Angsana New" panose="02020603050405020304" pitchFamily="18" charset="-34"/>
              <a:ea typeface="Times New Roman" panose="02020603050405020304" pitchFamily="18" charset="0"/>
              <a:cs typeface="Angsana New" panose="02020603050405020304" pitchFamily="18" charset="-34"/>
            </a:rPr>
            <a:t> อ้อยหวาน</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1064386</xdr:colOff>
      <xdr:row>54</xdr:row>
      <xdr:rowOff>107</xdr:rowOff>
    </xdr:from>
    <xdr:to>
      <xdr:col>9</xdr:col>
      <xdr:colOff>693618</xdr:colOff>
      <xdr:row>54</xdr:row>
      <xdr:rowOff>107</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7931911" y="13287482"/>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1063624</xdr:colOff>
      <xdr:row>53</xdr:row>
      <xdr:rowOff>112183</xdr:rowOff>
    </xdr:from>
    <xdr:to>
      <xdr:col>4</xdr:col>
      <xdr:colOff>238124</xdr:colOff>
      <xdr:row>54</xdr:row>
      <xdr:rowOff>9524</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2968624" y="12561358"/>
          <a:ext cx="2974975" cy="68791"/>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 อ้อยหวาน)</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  </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958215</xdr:colOff>
      <xdr:row>53</xdr:row>
      <xdr:rowOff>167640</xdr:rowOff>
    </xdr:from>
    <xdr:to>
      <xdr:col>9</xdr:col>
      <xdr:colOff>809855</xdr:colOff>
      <xdr:row>53</xdr:row>
      <xdr:rowOff>167640</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7768590" y="12616815"/>
          <a:ext cx="3985490"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5:U86" totalsRowShown="0" headerRowDxfId="91" dataDxfId="90" totalsRowDxfId="88" tableBorderDxfId="89" totalsRowBorderDxfId="87">
  <autoFilter ref="A5:U86" xr:uid="{3C878C68-A372-446C-8256-BD036B6D96E7}"/>
  <tableColumns count="21">
    <tableColumn id="1" xr3:uid="{7A68EB0F-4EB7-4EA0-B847-CDCEDE1995D9}" name="ลำดับ" dataDxfId="86" totalsRowDxfId="85"/>
    <tableColumn id="7" xr3:uid="{8F6F8C50-9D55-461F-83AF-B2E29A90BB45}" name="รหัสลูกค้า" dataDxfId="84" totalsRowDxfId="83" dataCellStyle="Total"/>
    <tableColumn id="2" xr3:uid="{E91B7877-DC71-4CB9-BA7F-36CA618C37EA}" name="ชื่อเจ้าของโครงการ" dataDxfId="82" totalsRowDxfId="81"/>
    <tableColumn id="10" xr3:uid="{19271DD2-0A59-4759-AE5D-1AB63890B014}" name="Sales" dataDxfId="80" dataCellStyle="Total"/>
    <tableColumn id="5" xr3:uid="{A5848258-9033-4D9F-8296-8ECDB5D9D258}" name="บริการประเภท" dataDxfId="79" totalsRowDxfId="78" dataCellStyle="Total"/>
    <tableColumn id="25" xr3:uid="{448C2BE4-700B-472E-8A90-659E7D16D1C0}" name="ค่าบริการรายเดือนตาม Package" dataDxfId="77" totalsRowDxfId="76" dataCellStyle="Comma"/>
    <tableColumn id="21" xr3:uid="{F6EB7FD7-22B4-468E-93A2-3C3264EA758C}" name="เดือนที่เริ่มเก็บ_x000a_ค่าบริการ" dataDxfId="75" totalsRowDxfId="74" dataCellStyle="Comma"/>
    <tableColumn id="18" xr3:uid="{C760CCF5-1CE8-4D05-BFDF-919B5CF629EE}" name="รายการเบิก_x000a_คอมขายเพิ่มเติม_x000a_(เป้าตามกำหนด)_x000a_100-200%" dataDxfId="8" totalsRowDxfId="73" dataCellStyle="Comma"/>
    <tableColumn id="9" xr3:uid="{E8C32789-49FE-47D8-9CC6-E6DC2865932C}" name="Total_x000a_รายการเบิก_x000a_คอมขาย" dataDxfId="6" totalsRowDxfId="72" dataCellStyle="Comma"/>
    <tableColumn id="22" xr3:uid="{EE653E92-1BD1-40DB-9031-773B3881CD5E}" name="ค่าขายอุปกรณ์" dataDxfId="7" totalsRowDxfId="71" dataCellStyle="Comma"/>
    <tableColumn id="8" xr3:uid="{3A93194E-260A-40B9-9FBF-008409553371}" name="ต้นทุนค่าขายอุปกรณ์" dataDxfId="70" totalsRowDxfId="69"/>
    <tableColumn id="6" xr3:uid="{43A73351-F329-4C6C-8D46-8406F3275AF6}" name="คอมฯอุปกรณ์_x000a_ 5%" dataDxfId="68" totalsRowDxfId="67"/>
    <tableColumn id="26" xr3:uid="{758CBD6F-DD47-4531-8868-34976B0F62D4}" name="คอมฯ อุปกรณ์_x000a_25%" dataDxfId="5" totalsRowDxfId="66" dataCellStyle="Comma"/>
    <tableColumn id="16" xr3:uid="{78ACD765-640C-4D43-AC13-54384C4A941E}" name="Total_x000a_คอมฯ อุปกรณ์" dataDxfId="3" totalsRowDxfId="65" dataCellStyle="Comma"/>
    <tableColumn id="11" xr3:uid="{8011303A-D1A5-446B-B527-C3286D436110}" name="ค่าติดตั้ง/ค่าเชื่อมสัญญาณ" dataDxfId="4" totalsRowDxfId="64"/>
    <tableColumn id="12" xr3:uid="{9378E1BA-8956-40DD-8B02-7A6FFB094C52}" name="ต้นทุนค่าติดตั้ง/ค่าเชื่อมสัญญาณ" dataDxfId="2" totalsRowDxfId="63"/>
    <tableColumn id="14" xr3:uid="{714892B4-1AAA-47F9-97C0-DB9B6A097513}" name="Total _x000a_คอมฯค่าติดตั้ง/ค่าเชื่อมสัญญาณ" dataDxfId="0" totalsRowDxfId="62"/>
    <tableColumn id="13" xr3:uid="{01E93865-3399-4061-A66D-18E027C46EBE}" name="รวมค่าคอมฯ" dataDxfId="1" totalsRowDxfId="61" dataCellStyle="40% - Accent3"/>
    <tableColumn id="3" xr3:uid="{E3C14B63-3A8F-4A86-98D8-22F73FF5717A}" name="เลขที่ใบกำกับ/ใบเสร็จรับเงิน" dataDxfId="60" totalsRowDxfId="59"/>
    <tableColumn id="29" xr3:uid="{19195CF2-9F31-4094-B7B0-522E55CE71CA}" name="เลขที่นำส่งเงิน_x000a_" dataDxfId="58" totalsRowDxfId="57"/>
    <tableColumn id="4" xr3:uid="{55D2584C-42D9-4C3B-B911-8FF4B7984098}" name="เขตการขาย" dataDxfId="56" totalsRowDxfId="55"/>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30" totalsRowCount="1" headerRowDxfId="54" dataDxfId="53" totalsRowDxfId="51" tableBorderDxfId="52">
  <tableColumns count="21">
    <tableColumn id="1" xr3:uid="{DF3FD6E6-D745-41F2-ADF9-CD13EAF9355A}" name="ลำดับ" dataDxfId="50" totalsRowDxfId="49"/>
    <tableColumn id="12" xr3:uid="{F4B5205B-6640-4698-B033-46648AA463E3}" name="รหัสลูกค้า" dataDxfId="48" totalsRowDxfId="47" dataCellStyle="Total"/>
    <tableColumn id="2" xr3:uid="{EFD4A409-0B37-48A4-A6D1-0EDAEA08B630}" name="ชื่อเจ้าของโครงการ" totalsRowLabel="Total" dataDxfId="46" totalsRowDxfId="45"/>
    <tableColumn id="10" xr3:uid="{0F59EE97-1C15-48E2-A068-6300779DD479}" name="Sales" dataDxfId="44" totalsRowDxfId="43"/>
    <tableColumn id="5" xr3:uid="{C7CF4C1E-6C22-4A12-BC86-223316804350}" name="บริการประเภท" dataDxfId="42" totalsRowDxfId="41" dataCellStyle="Total"/>
    <tableColumn id="25" xr3:uid="{8F2297A0-32B0-43D2-B9BD-8EC1009B1977}" name="ค่าบริการรายเดือนตาม Package" totalsRowFunction="sum" dataDxfId="40" totalsRowDxfId="39" dataCellStyle="Comma"/>
    <tableColumn id="21" xr3:uid="{75C8E32E-3F65-4F42-ACED-BFC8B27ADC32}" name="เดือนที่เริ่มเก็บ_x000a_ค่าบริการ" dataDxfId="38" totalsRowDxfId="37" dataCellStyle="Comma"/>
    <tableColumn id="8" xr3:uid="{87582A4B-C6E1-459B-9800-05571557ACEC}" name="รายการเบิก_x000a_คอมขายเพิ่มเติม_x000a_(เป้าตามกำหนด)_x000a_100-200%" totalsRowFunction="sum" dataDxfId="36" totalsRowDxfId="35" dataCellStyle="Comma"/>
    <tableColumn id="9" xr3:uid="{80B11174-88F7-481E-8588-DCC205A7F65B}" name="รายการเบิก_x000a_คอมขาย" totalsRowFunction="sum" dataDxfId="34" totalsRowDxfId="33" dataCellStyle="Comma"/>
    <tableColumn id="22" xr3:uid="{7E1E6494-3D75-42D9-9462-3378DBD97459}" name="ค่าขายอุปกรณ์" totalsRowFunction="sum" dataDxfId="32" totalsRowDxfId="31" dataCellStyle="Comma"/>
    <tableColumn id="4" xr3:uid="{6F575235-48BB-483E-BFE9-88158E351789}" name="ต้นทุนค่าขายอุปกรณ์" totalsRowFunction="sum" dataDxfId="30" totalsRowDxfId="29"/>
    <tableColumn id="6" xr3:uid="{7DF313D9-AB2D-4BE0-82F9-C19A4E538983}" name="คอมฯอุปกรณ์_x000a_ 5%" totalsRowFunction="sum" dataDxfId="28" totalsRowDxfId="27"/>
    <tableColumn id="26" xr3:uid="{B2B3E80A-ECD8-4B32-8E0F-D6A42BE9B960}" name="คอมฯ อุปกรณ์_x000a_25%" totalsRowFunction="sum" dataDxfId="26" totalsRowDxfId="25" dataCellStyle="Comma"/>
    <tableColumn id="13" xr3:uid="{580055DC-2FBC-4D00-BA82-8376F27591FF}" name="Total_x000a_คอมฯ อุปกรณ์" dataDxfId="24" totalsRowDxfId="23" dataCellStyle="Comma"/>
    <tableColumn id="15" xr3:uid="{52CA07EB-D357-46DC-8FE4-B6971D41F453}" name="ค่าติดตั้ง/ค่าเชื่อมสัญญาณ" dataDxfId="22" totalsRowDxfId="21" dataCellStyle="Comma"/>
    <tableColumn id="17" xr3:uid="{4EC6B6AD-0201-4110-8789-0A3FD486D800}" name="ต้นทุนค่าติดตั้ง/ค่าเชื่อมสัญญาณ" dataDxfId="20" totalsRowDxfId="19" dataCellStyle="Comma"/>
    <tableColumn id="16" xr3:uid="{95E16324-276E-48DC-8203-FB2D58BA6719}" name="Total _x000a_คอมฯค่าติดตั้ง/ค่าเชื่อมสัญญาณ" totalsRowFunction="sum" dataDxfId="18" totalsRowDxfId="17" dataCellStyle="Comma"/>
    <tableColumn id="3" xr3:uid="{02A9AB69-FFEB-4867-B132-52FAADBD4D7A}" name="รวมค่าคอมฯ" totalsRowFunction="sum" dataDxfId="16" totalsRowDxfId="15"/>
    <tableColumn id="11" xr3:uid="{323E8EBB-672E-49FF-886B-83397B13954F}" name="เลขที่ใบกำกับ/ใบเสร็จรับเงิน" totalsRowFunction="sum" dataDxfId="14" totalsRowDxfId="13"/>
    <tableColumn id="7" xr3:uid="{BCF445C2-E016-4A4B-AED8-A6BAA3F6BE25}" name="เลขที่นำส่งเงิน_x000a_" totalsRowFunction="sum" dataDxfId="12" totalsRowDxfId="11"/>
    <tableColumn id="14" xr3:uid="{0FC5A296-C82E-487E-BCC6-7040C9EE9F00}" name="เขตการขาย" dataDxfId="10" totalsRowDxfId="9"/>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B1:C20"/>
  <sheetViews>
    <sheetView workbookViewId="0">
      <selection activeCell="B12" sqref="B12"/>
    </sheetView>
  </sheetViews>
  <sheetFormatPr defaultRowHeight="13.2"/>
  <cols>
    <col min="2" max="2" width="26.44140625" bestFit="1" customWidth="1"/>
    <col min="3" max="3" width="29.21875" bestFit="1" customWidth="1"/>
  </cols>
  <sheetData>
    <row r="1" spans="2:3" ht="27" thickBot="1">
      <c r="B1" s="147" t="s">
        <v>64</v>
      </c>
      <c r="C1" s="147" t="s">
        <v>49</v>
      </c>
    </row>
    <row r="2" spans="2:3" ht="13.8">
      <c r="B2" s="149" t="s">
        <v>21</v>
      </c>
      <c r="C2" s="148" t="s">
        <v>110</v>
      </c>
    </row>
    <row r="3" spans="2:3" ht="13.8">
      <c r="B3" s="149" t="s">
        <v>86</v>
      </c>
      <c r="C3" s="148" t="s">
        <v>46</v>
      </c>
    </row>
    <row r="4" spans="2:3" ht="13.8">
      <c r="B4" s="149" t="s">
        <v>87</v>
      </c>
      <c r="C4" s="148" t="s">
        <v>70</v>
      </c>
    </row>
    <row r="5" spans="2:3" ht="13.8">
      <c r="B5" s="149" t="s">
        <v>88</v>
      </c>
      <c r="C5" s="148" t="s">
        <v>50</v>
      </c>
    </row>
    <row r="6" spans="2:3" ht="13.8">
      <c r="B6" s="149" t="s">
        <v>68</v>
      </c>
      <c r="C6" s="148" t="s">
        <v>51</v>
      </c>
    </row>
    <row r="7" spans="2:3" ht="13.8">
      <c r="B7" s="149" t="s">
        <v>80</v>
      </c>
      <c r="C7" s="148" t="s">
        <v>52</v>
      </c>
    </row>
    <row r="8" spans="2:3" ht="13.8">
      <c r="B8" s="149" t="s">
        <v>82</v>
      </c>
      <c r="C8" s="148" t="s">
        <v>53</v>
      </c>
    </row>
    <row r="9" spans="2:3" ht="13.8">
      <c r="B9" s="149" t="s">
        <v>83</v>
      </c>
      <c r="C9" s="148" t="s">
        <v>54</v>
      </c>
    </row>
    <row r="10" spans="2:3" ht="13.8">
      <c r="B10" s="149" t="s">
        <v>84</v>
      </c>
      <c r="C10" s="148" t="s">
        <v>55</v>
      </c>
    </row>
    <row r="11" spans="2:3" ht="13.8">
      <c r="B11" s="149" t="s">
        <v>85</v>
      </c>
      <c r="C11" s="148" t="s">
        <v>47</v>
      </c>
    </row>
    <row r="12" spans="2:3" ht="13.8">
      <c r="B12" s="149" t="s">
        <v>168</v>
      </c>
      <c r="C12" s="148" t="s">
        <v>56</v>
      </c>
    </row>
    <row r="13" spans="2:3" ht="13.8">
      <c r="B13" s="149" t="s">
        <v>81</v>
      </c>
      <c r="C13" s="148" t="s">
        <v>57</v>
      </c>
    </row>
    <row r="14" spans="2:3" ht="13.8">
      <c r="B14" s="149" t="s">
        <v>103</v>
      </c>
      <c r="C14" s="148" t="s">
        <v>58</v>
      </c>
    </row>
    <row r="15" spans="2:3" ht="13.8">
      <c r="B15" t="s">
        <v>79</v>
      </c>
      <c r="C15" s="148" t="s">
        <v>59</v>
      </c>
    </row>
    <row r="16" spans="2:3" ht="13.8">
      <c r="B16" s="149" t="s">
        <v>78</v>
      </c>
      <c r="C16" s="148" t="s">
        <v>60</v>
      </c>
    </row>
    <row r="17" spans="2:3" ht="13.8">
      <c r="B17" t="s">
        <v>69</v>
      </c>
      <c r="C17" s="148" t="s">
        <v>61</v>
      </c>
    </row>
    <row r="18" spans="2:3" ht="13.8">
      <c r="B18" t="s">
        <v>36</v>
      </c>
      <c r="C18" s="148" t="s">
        <v>48</v>
      </c>
    </row>
    <row r="19" spans="2:3" ht="13.8">
      <c r="B19" t="s">
        <v>65</v>
      </c>
      <c r="C19" s="148" t="s">
        <v>62</v>
      </c>
    </row>
    <row r="20" spans="2:3" ht="13.8">
      <c r="B20" t="s">
        <v>18</v>
      </c>
      <c r="C20" s="148" t="s">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W91"/>
  <sheetViews>
    <sheetView tabSelected="1" zoomScale="70" zoomScaleNormal="70" workbookViewId="0">
      <pane xSplit="7" ySplit="5" topLeftCell="H6" activePane="bottomRight" state="frozen"/>
      <selection pane="topRight" activeCell="F1" sqref="F1"/>
      <selection pane="bottomLeft" activeCell="A6" sqref="A6"/>
      <selection pane="bottomRight" activeCell="F17" sqref="F17"/>
    </sheetView>
  </sheetViews>
  <sheetFormatPr defaultColWidth="0" defaultRowHeight="0" customHeight="1" zeroHeight="1"/>
  <cols>
    <col min="1" max="1" width="9.77734375" style="194" customWidth="1"/>
    <col min="2" max="2" width="19.33203125" style="194" bestFit="1" customWidth="1"/>
    <col min="3" max="3" width="31.44140625" style="194" customWidth="1"/>
    <col min="4" max="4" width="25.44140625" style="213" bestFit="1" customWidth="1"/>
    <col min="5" max="5" width="25" style="213" bestFit="1" customWidth="1"/>
    <col min="6" max="6" width="16.77734375" style="214" customWidth="1"/>
    <col min="7" max="7" width="19.6640625" style="203" customWidth="1"/>
    <col min="8" max="8" width="21.21875" style="215" customWidth="1"/>
    <col min="9" max="9" width="19.33203125" style="215" customWidth="1"/>
    <col min="10" max="11" width="19.109375" style="214" customWidth="1"/>
    <col min="12" max="13" width="17.33203125" style="202" customWidth="1"/>
    <col min="14" max="17" width="17.77734375" style="215" customWidth="1"/>
    <col min="18" max="18" width="20.109375" style="202" customWidth="1"/>
    <col min="19" max="19" width="22.21875" style="202" bestFit="1" customWidth="1"/>
    <col min="20" max="20" width="22" style="202" customWidth="1"/>
    <col min="21" max="21" width="17" style="204" customWidth="1"/>
    <col min="22" max="22" width="0" style="219" hidden="1"/>
    <col min="23" max="23" width="2.77734375" style="202" customWidth="1"/>
    <col min="24" max="24" width="15.5546875" style="194" customWidth="1"/>
    <col min="25" max="25" width="0" style="194" hidden="1"/>
    <col min="26" max="26" width="16.6640625" style="194" customWidth="1"/>
    <col min="27" max="27" width="17.44140625" style="194" customWidth="1"/>
    <col min="28" max="29" width="0" style="194" hidden="1"/>
    <col min="30" max="32" width="15.33203125" style="194" customWidth="1"/>
    <col min="33" max="33" width="17" style="194" customWidth="1"/>
    <col min="34" max="34" width="0" style="194" hidden="1"/>
    <col min="35" max="36" width="15.5546875" style="194" customWidth="1"/>
    <col min="37" max="37" width="13.6640625" style="194" customWidth="1"/>
    <col min="38" max="38" width="9" style="194" customWidth="1"/>
    <col min="39" max="39" width="49.88671875" style="194" customWidth="1"/>
    <col min="40" max="40" width="0" style="194" hidden="1"/>
    <col min="41" max="42" width="15.88671875" style="194" customWidth="1"/>
    <col min="43" max="43" width="14.5546875" style="194" customWidth="1"/>
    <col min="44" max="44" width="16.33203125" style="194" customWidth="1"/>
    <col min="45" max="45" width="18.109375" style="194" customWidth="1"/>
    <col min="46" max="46" width="14.109375" style="194" customWidth="1"/>
    <col min="47" max="273" width="0" style="194" hidden="1"/>
    <col min="274" max="274" width="7.5546875" style="194" customWidth="1"/>
    <col min="275" max="275" width="36.77734375" style="194" customWidth="1"/>
    <col min="276" max="277" width="0" style="194" hidden="1"/>
    <col min="278" max="278" width="16.6640625" style="194" customWidth="1"/>
    <col min="279" max="279" width="17.33203125" style="194" customWidth="1"/>
    <col min="280" max="280" width="15.5546875" style="194" customWidth="1"/>
    <col min="281" max="281" width="0" style="194" hidden="1"/>
    <col min="282" max="282" width="16.6640625" style="194" customWidth="1"/>
    <col min="283" max="283" width="17.44140625" style="194" customWidth="1"/>
    <col min="284" max="285" width="0" style="194" hidden="1"/>
    <col min="286" max="288" width="15.33203125" style="194" customWidth="1"/>
    <col min="289" max="289" width="17" style="194" customWidth="1"/>
    <col min="290" max="290" width="0" style="194" hidden="1"/>
    <col min="291" max="292" width="15.5546875" style="194" customWidth="1"/>
    <col min="293" max="293" width="13.6640625" style="194" customWidth="1"/>
    <col min="294" max="294" width="9" style="194" customWidth="1"/>
    <col min="295" max="295" width="49.88671875" style="194" customWidth="1"/>
    <col min="296" max="296" width="0" style="194" hidden="1"/>
    <col min="297" max="298" width="15.88671875" style="194" customWidth="1"/>
    <col min="299" max="299" width="14.5546875" style="194" customWidth="1"/>
    <col min="300" max="300" width="16.33203125" style="194" customWidth="1"/>
    <col min="301" max="301" width="18.109375" style="194" customWidth="1"/>
    <col min="302" max="302" width="14.109375" style="194" customWidth="1"/>
    <col min="303" max="529" width="0" style="194" hidden="1"/>
    <col min="530" max="530" width="7.5546875" style="194" customWidth="1"/>
    <col min="531" max="531" width="36.77734375" style="194" customWidth="1"/>
    <col min="532" max="533" width="0" style="194" hidden="1"/>
    <col min="534" max="534" width="16.6640625" style="194" customWidth="1"/>
    <col min="535" max="535" width="17.33203125" style="194" customWidth="1"/>
    <col min="536" max="536" width="15.5546875" style="194" customWidth="1"/>
    <col min="537" max="537" width="0" style="194" hidden="1"/>
    <col min="538" max="538" width="16.6640625" style="194" customWidth="1"/>
    <col min="539" max="539" width="17.44140625" style="194" customWidth="1"/>
    <col min="540" max="541" width="0" style="194" hidden="1"/>
    <col min="542" max="544" width="15.33203125" style="194" customWidth="1"/>
    <col min="545" max="545" width="17" style="194" customWidth="1"/>
    <col min="546" max="546" width="0" style="194" hidden="1"/>
    <col min="547" max="548" width="15.5546875" style="194" customWidth="1"/>
    <col min="549" max="549" width="13.6640625" style="194" customWidth="1"/>
    <col min="550" max="550" width="9" style="194" customWidth="1"/>
    <col min="551" max="551" width="49.88671875" style="194" customWidth="1"/>
    <col min="552" max="552" width="0" style="194" hidden="1"/>
    <col min="553" max="554" width="15.88671875" style="194" customWidth="1"/>
    <col min="555" max="555" width="14.5546875" style="194" customWidth="1"/>
    <col min="556" max="556" width="16.33203125" style="194" customWidth="1"/>
    <col min="557" max="557" width="18.109375" style="194" customWidth="1"/>
    <col min="558" max="558" width="14.109375" style="194" customWidth="1"/>
    <col min="559" max="785" width="0" style="194" hidden="1"/>
    <col min="786" max="786" width="7.5546875" style="194" customWidth="1"/>
    <col min="787" max="787" width="36.77734375" style="194" customWidth="1"/>
    <col min="788" max="789" width="0" style="194" hidden="1"/>
    <col min="790" max="790" width="16.6640625" style="194" customWidth="1"/>
    <col min="791" max="791" width="17.33203125" style="194" customWidth="1"/>
    <col min="792" max="792" width="15.5546875" style="194" customWidth="1"/>
    <col min="793" max="793" width="0" style="194" hidden="1"/>
    <col min="794" max="794" width="16.6640625" style="194" customWidth="1"/>
    <col min="795" max="795" width="17.44140625" style="194" customWidth="1"/>
    <col min="796" max="797" width="0" style="194" hidden="1"/>
    <col min="798" max="800" width="15.33203125" style="194" customWidth="1"/>
    <col min="801" max="801" width="17" style="194" customWidth="1"/>
    <col min="802" max="802" width="0" style="194" hidden="1"/>
    <col min="803" max="804" width="15.5546875" style="194" customWidth="1"/>
    <col min="805" max="805" width="13.6640625" style="194" customWidth="1"/>
    <col min="806" max="806" width="9" style="194" customWidth="1"/>
    <col min="807" max="807" width="49.88671875" style="194" customWidth="1"/>
    <col min="808" max="808" width="0" style="194" hidden="1"/>
    <col min="809" max="810" width="15.88671875" style="194" customWidth="1"/>
    <col min="811" max="811" width="14.5546875" style="194" customWidth="1"/>
    <col min="812" max="812" width="16.33203125" style="194" customWidth="1"/>
    <col min="813" max="813" width="18.109375" style="194" customWidth="1"/>
    <col min="814" max="814" width="14.109375" style="194" customWidth="1"/>
    <col min="815" max="1041" width="0" style="194" hidden="1"/>
    <col min="1042" max="1042" width="7.5546875" style="194" customWidth="1"/>
    <col min="1043" max="1043" width="36.77734375" style="194" customWidth="1"/>
    <col min="1044" max="1045" width="0" style="194" hidden="1"/>
    <col min="1046" max="1046" width="16.6640625" style="194" customWidth="1"/>
    <col min="1047" max="1047" width="17.33203125" style="194" customWidth="1"/>
    <col min="1048" max="1048" width="15.5546875" style="194" customWidth="1"/>
    <col min="1049" max="1049" width="0" style="194" hidden="1"/>
    <col min="1050" max="1050" width="16.6640625" style="194" customWidth="1"/>
    <col min="1051" max="1051" width="17.44140625" style="194" customWidth="1"/>
    <col min="1052" max="1053" width="0" style="194" hidden="1"/>
    <col min="1054" max="1056" width="15.33203125" style="194" customWidth="1"/>
    <col min="1057" max="1057" width="17" style="194" customWidth="1"/>
    <col min="1058" max="1058" width="0" style="194" hidden="1"/>
    <col min="1059" max="1060" width="15.5546875" style="194" customWidth="1"/>
    <col min="1061" max="1061" width="13.6640625" style="194" customWidth="1"/>
    <col min="1062" max="1062" width="9" style="194" customWidth="1"/>
    <col min="1063" max="1063" width="49.88671875" style="194" customWidth="1"/>
    <col min="1064" max="1064" width="0" style="194" hidden="1"/>
    <col min="1065" max="1066" width="15.88671875" style="194" customWidth="1"/>
    <col min="1067" max="1067" width="14.5546875" style="194" customWidth="1"/>
    <col min="1068" max="1068" width="16.33203125" style="194" customWidth="1"/>
    <col min="1069" max="1069" width="18.109375" style="194" customWidth="1"/>
    <col min="1070" max="1070" width="14.109375" style="194" customWidth="1"/>
    <col min="1071" max="1297" width="0" style="194" hidden="1"/>
    <col min="1298" max="1298" width="7.5546875" style="194" customWidth="1"/>
    <col min="1299" max="1299" width="36.77734375" style="194" customWidth="1"/>
    <col min="1300" max="1301" width="0" style="194" hidden="1"/>
    <col min="1302" max="1302" width="16.6640625" style="194" customWidth="1"/>
    <col min="1303" max="1303" width="17.33203125" style="194" customWidth="1"/>
    <col min="1304" max="1304" width="15.5546875" style="194" customWidth="1"/>
    <col min="1305" max="1305" width="0" style="194" hidden="1"/>
    <col min="1306" max="1306" width="16.6640625" style="194" customWidth="1"/>
    <col min="1307" max="1307" width="17.44140625" style="194" customWidth="1"/>
    <col min="1308" max="1309" width="0" style="194" hidden="1"/>
    <col min="1310" max="1312" width="15.33203125" style="194" customWidth="1"/>
    <col min="1313" max="1313" width="17" style="194" customWidth="1"/>
    <col min="1314" max="1314" width="0" style="194" hidden="1"/>
    <col min="1315" max="1316" width="15.5546875" style="194" customWidth="1"/>
    <col min="1317" max="1317" width="13.6640625" style="194" customWidth="1"/>
    <col min="1318" max="1318" width="9" style="194" customWidth="1"/>
    <col min="1319" max="1319" width="49.88671875" style="194" customWidth="1"/>
    <col min="1320" max="1320" width="0" style="194" hidden="1"/>
    <col min="1321" max="1322" width="15.88671875" style="194" customWidth="1"/>
    <col min="1323" max="1323" width="14.5546875" style="194" customWidth="1"/>
    <col min="1324" max="1324" width="16.33203125" style="194" customWidth="1"/>
    <col min="1325" max="1325" width="18.109375" style="194" customWidth="1"/>
    <col min="1326" max="1326" width="14.109375" style="194" customWidth="1"/>
    <col min="1327" max="1553" width="0" style="194" hidden="1"/>
    <col min="1554" max="1554" width="7.5546875" style="194" customWidth="1"/>
    <col min="1555" max="1555" width="36.77734375" style="194" customWidth="1"/>
    <col min="1556" max="1557" width="0" style="194" hidden="1"/>
    <col min="1558" max="1558" width="16.6640625" style="194" customWidth="1"/>
    <col min="1559" max="1559" width="17.33203125" style="194" customWidth="1"/>
    <col min="1560" max="1560" width="15.5546875" style="194" customWidth="1"/>
    <col min="1561" max="1561" width="0" style="194" hidden="1"/>
    <col min="1562" max="1562" width="16.6640625" style="194" customWidth="1"/>
    <col min="1563" max="1563" width="17.44140625" style="194" customWidth="1"/>
    <col min="1564" max="1565" width="0" style="194" hidden="1"/>
    <col min="1566" max="1568" width="15.33203125" style="194" customWidth="1"/>
    <col min="1569" max="1569" width="17" style="194" customWidth="1"/>
    <col min="1570" max="1570" width="0" style="194" hidden="1"/>
    <col min="1571" max="1572" width="15.5546875" style="194" customWidth="1"/>
    <col min="1573" max="1573" width="13.6640625" style="194" customWidth="1"/>
    <col min="1574" max="1574" width="9" style="194" customWidth="1"/>
    <col min="1575" max="1575" width="49.88671875" style="194" customWidth="1"/>
    <col min="1576" max="1576" width="0" style="194" hidden="1"/>
    <col min="1577" max="1578" width="15.88671875" style="194" customWidth="1"/>
    <col min="1579" max="1579" width="14.5546875" style="194" customWidth="1"/>
    <col min="1580" max="1580" width="16.33203125" style="194" customWidth="1"/>
    <col min="1581" max="1581" width="18.109375" style="194" customWidth="1"/>
    <col min="1582" max="1582" width="14.109375" style="194" customWidth="1"/>
    <col min="1583" max="1809" width="0" style="194" hidden="1"/>
    <col min="1810" max="1810" width="7.5546875" style="194" customWidth="1"/>
    <col min="1811" max="1811" width="36.77734375" style="194" customWidth="1"/>
    <col min="1812" max="1813" width="0" style="194" hidden="1"/>
    <col min="1814" max="1814" width="16.6640625" style="194" customWidth="1"/>
    <col min="1815" max="1815" width="17.33203125" style="194" customWidth="1"/>
    <col min="1816" max="1816" width="15.5546875" style="194" customWidth="1"/>
    <col min="1817" max="1817" width="0" style="194" hidden="1"/>
    <col min="1818" max="1818" width="16.6640625" style="194" customWidth="1"/>
    <col min="1819" max="1819" width="17.44140625" style="194" customWidth="1"/>
    <col min="1820" max="1821" width="0" style="194" hidden="1"/>
    <col min="1822" max="1824" width="15.33203125" style="194" customWidth="1"/>
    <col min="1825" max="1825" width="17" style="194" customWidth="1"/>
    <col min="1826" max="1826" width="0" style="194" hidden="1"/>
    <col min="1827" max="1828" width="15.5546875" style="194" customWidth="1"/>
    <col min="1829" max="1829" width="13.6640625" style="194" customWidth="1"/>
    <col min="1830" max="1830" width="9" style="194" customWidth="1"/>
    <col min="1831" max="1831" width="49.88671875" style="194" customWidth="1"/>
    <col min="1832" max="1832" width="0" style="194" hidden="1"/>
    <col min="1833" max="1834" width="15.88671875" style="194" customWidth="1"/>
    <col min="1835" max="1835" width="14.5546875" style="194" customWidth="1"/>
    <col min="1836" max="1836" width="16.33203125" style="194" customWidth="1"/>
    <col min="1837" max="1837" width="18.109375" style="194" customWidth="1"/>
    <col min="1838" max="1838" width="14.109375" style="194" customWidth="1"/>
    <col min="1839" max="2065" width="0" style="194" hidden="1"/>
    <col min="2066" max="2066" width="7.5546875" style="194" customWidth="1"/>
    <col min="2067" max="2067" width="36.77734375" style="194" customWidth="1"/>
    <col min="2068" max="2069" width="0" style="194" hidden="1"/>
    <col min="2070" max="2070" width="16.6640625" style="194" customWidth="1"/>
    <col min="2071" max="2071" width="17.33203125" style="194" customWidth="1"/>
    <col min="2072" max="2072" width="15.5546875" style="194" customWidth="1"/>
    <col min="2073" max="2073" width="0" style="194" hidden="1"/>
    <col min="2074" max="2074" width="16.6640625" style="194" customWidth="1"/>
    <col min="2075" max="2075" width="17.44140625" style="194" customWidth="1"/>
    <col min="2076" max="2077" width="0" style="194" hidden="1"/>
    <col min="2078" max="2080" width="15.33203125" style="194" customWidth="1"/>
    <col min="2081" max="2081" width="17" style="194" customWidth="1"/>
    <col min="2082" max="2082" width="0" style="194" hidden="1"/>
    <col min="2083" max="2084" width="15.5546875" style="194" customWidth="1"/>
    <col min="2085" max="2085" width="13.6640625" style="194" customWidth="1"/>
    <col min="2086" max="2086" width="9" style="194" customWidth="1"/>
    <col min="2087" max="2087" width="49.88671875" style="194" customWidth="1"/>
    <col min="2088" max="2088" width="0" style="194" hidden="1"/>
    <col min="2089" max="2090" width="15.88671875" style="194" customWidth="1"/>
    <col min="2091" max="2091" width="14.5546875" style="194" customWidth="1"/>
    <col min="2092" max="2092" width="16.33203125" style="194" customWidth="1"/>
    <col min="2093" max="2093" width="18.109375" style="194" customWidth="1"/>
    <col min="2094" max="2094" width="14.109375" style="194" customWidth="1"/>
    <col min="2095" max="2321" width="0" style="194" hidden="1"/>
    <col min="2322" max="2322" width="7.5546875" style="194" customWidth="1"/>
    <col min="2323" max="2323" width="36.77734375" style="194" customWidth="1"/>
    <col min="2324" max="2325" width="0" style="194" hidden="1"/>
    <col min="2326" max="2326" width="16.6640625" style="194" customWidth="1"/>
    <col min="2327" max="2327" width="17.33203125" style="194" customWidth="1"/>
    <col min="2328" max="2328" width="15.5546875" style="194" customWidth="1"/>
    <col min="2329" max="2329" width="0" style="194" hidden="1"/>
    <col min="2330" max="2330" width="16.6640625" style="194" customWidth="1"/>
    <col min="2331" max="2331" width="17.44140625" style="194" customWidth="1"/>
    <col min="2332" max="2333" width="0" style="194" hidden="1"/>
    <col min="2334" max="2336" width="15.33203125" style="194" customWidth="1"/>
    <col min="2337" max="2337" width="17" style="194" customWidth="1"/>
    <col min="2338" max="2338" width="0" style="194" hidden="1"/>
    <col min="2339" max="2340" width="15.5546875" style="194" customWidth="1"/>
    <col min="2341" max="2341" width="13.6640625" style="194" customWidth="1"/>
    <col min="2342" max="2342" width="9" style="194" customWidth="1"/>
    <col min="2343" max="2343" width="49.88671875" style="194" customWidth="1"/>
    <col min="2344" max="2344" width="0" style="194" hidden="1"/>
    <col min="2345" max="2346" width="15.88671875" style="194" customWidth="1"/>
    <col min="2347" max="2347" width="14.5546875" style="194" customWidth="1"/>
    <col min="2348" max="2348" width="16.33203125" style="194" customWidth="1"/>
    <col min="2349" max="2349" width="18.109375" style="194" customWidth="1"/>
    <col min="2350" max="2350" width="14.109375" style="194" customWidth="1"/>
    <col min="2351" max="2577" width="0" style="194" hidden="1"/>
    <col min="2578" max="2578" width="7.5546875" style="194" customWidth="1"/>
    <col min="2579" max="2579" width="36.77734375" style="194" customWidth="1"/>
    <col min="2580" max="2581" width="0" style="194" hidden="1"/>
    <col min="2582" max="2582" width="16.6640625" style="194" customWidth="1"/>
    <col min="2583" max="2583" width="17.33203125" style="194" customWidth="1"/>
    <col min="2584" max="2584" width="15.5546875" style="194" customWidth="1"/>
    <col min="2585" max="2585" width="0" style="194" hidden="1"/>
    <col min="2586" max="2586" width="16.6640625" style="194" customWidth="1"/>
    <col min="2587" max="2587" width="17.44140625" style="194" customWidth="1"/>
    <col min="2588" max="2589" width="0" style="194" hidden="1"/>
    <col min="2590" max="2592" width="15.33203125" style="194" customWidth="1"/>
    <col min="2593" max="2593" width="17" style="194" customWidth="1"/>
    <col min="2594" max="2594" width="0" style="194" hidden="1"/>
    <col min="2595" max="2596" width="15.5546875" style="194" customWidth="1"/>
    <col min="2597" max="2597" width="13.6640625" style="194" customWidth="1"/>
    <col min="2598" max="2598" width="9" style="194" customWidth="1"/>
    <col min="2599" max="2599" width="49.88671875" style="194" customWidth="1"/>
    <col min="2600" max="2600" width="0" style="194" hidden="1"/>
    <col min="2601" max="2602" width="15.88671875" style="194" customWidth="1"/>
    <col min="2603" max="2603" width="14.5546875" style="194" customWidth="1"/>
    <col min="2604" max="2604" width="16.33203125" style="194" customWidth="1"/>
    <col min="2605" max="2605" width="18.109375" style="194" customWidth="1"/>
    <col min="2606" max="2606" width="14.109375" style="194" customWidth="1"/>
    <col min="2607" max="2833" width="0" style="194" hidden="1"/>
    <col min="2834" max="2834" width="7.5546875" style="194" customWidth="1"/>
    <col min="2835" max="2835" width="36.77734375" style="194" customWidth="1"/>
    <col min="2836" max="2837" width="0" style="194" hidden="1"/>
    <col min="2838" max="2838" width="16.6640625" style="194" customWidth="1"/>
    <col min="2839" max="2839" width="17.33203125" style="194" customWidth="1"/>
    <col min="2840" max="2840" width="15.5546875" style="194" customWidth="1"/>
    <col min="2841" max="2841" width="0" style="194" hidden="1"/>
    <col min="2842" max="2842" width="16.6640625" style="194" customWidth="1"/>
    <col min="2843" max="2843" width="17.44140625" style="194" customWidth="1"/>
    <col min="2844" max="2845" width="0" style="194" hidden="1"/>
    <col min="2846" max="2848" width="15.33203125" style="194" customWidth="1"/>
    <col min="2849" max="2849" width="17" style="194" customWidth="1"/>
    <col min="2850" max="2850" width="0" style="194" hidden="1"/>
    <col min="2851" max="2852" width="15.5546875" style="194" customWidth="1"/>
    <col min="2853" max="2853" width="13.6640625" style="194" customWidth="1"/>
    <col min="2854" max="2854" width="9" style="194" customWidth="1"/>
    <col min="2855" max="2855" width="49.88671875" style="194" customWidth="1"/>
    <col min="2856" max="2856" width="0" style="194" hidden="1"/>
    <col min="2857" max="2858" width="15.88671875" style="194" customWidth="1"/>
    <col min="2859" max="2859" width="14.5546875" style="194" customWidth="1"/>
    <col min="2860" max="2860" width="16.33203125" style="194" customWidth="1"/>
    <col min="2861" max="2861" width="18.109375" style="194" customWidth="1"/>
    <col min="2862" max="2862" width="14.109375" style="194" customWidth="1"/>
    <col min="2863" max="3089" width="0" style="194" hidden="1"/>
    <col min="3090" max="3090" width="7.5546875" style="194" customWidth="1"/>
    <col min="3091" max="3091" width="36.77734375" style="194" customWidth="1"/>
    <col min="3092" max="3093" width="0" style="194" hidden="1"/>
    <col min="3094" max="3094" width="16.6640625" style="194" customWidth="1"/>
    <col min="3095" max="3095" width="17.33203125" style="194" customWidth="1"/>
    <col min="3096" max="3096" width="15.5546875" style="194" customWidth="1"/>
    <col min="3097" max="3097" width="0" style="194" hidden="1"/>
    <col min="3098" max="3098" width="16.6640625" style="194" customWidth="1"/>
    <col min="3099" max="3099" width="17.44140625" style="194" customWidth="1"/>
    <col min="3100" max="3101" width="0" style="194" hidden="1"/>
    <col min="3102" max="3104" width="15.33203125" style="194" customWidth="1"/>
    <col min="3105" max="3105" width="17" style="194" customWidth="1"/>
    <col min="3106" max="3106" width="0" style="194" hidden="1"/>
    <col min="3107" max="3108" width="15.5546875" style="194" customWidth="1"/>
    <col min="3109" max="3109" width="13.6640625" style="194" customWidth="1"/>
    <col min="3110" max="3110" width="9" style="194" customWidth="1"/>
    <col min="3111" max="3111" width="49.88671875" style="194" customWidth="1"/>
    <col min="3112" max="3112" width="0" style="194" hidden="1"/>
    <col min="3113" max="3114" width="15.88671875" style="194" customWidth="1"/>
    <col min="3115" max="3115" width="14.5546875" style="194" customWidth="1"/>
    <col min="3116" max="3116" width="16.33203125" style="194" customWidth="1"/>
    <col min="3117" max="3117" width="18.109375" style="194" customWidth="1"/>
    <col min="3118" max="3118" width="14.109375" style="194" customWidth="1"/>
    <col min="3119" max="3345" width="0" style="194" hidden="1"/>
    <col min="3346" max="3346" width="7.5546875" style="194" customWidth="1"/>
    <col min="3347" max="3347" width="36.77734375" style="194" customWidth="1"/>
    <col min="3348" max="3349" width="0" style="194" hidden="1"/>
    <col min="3350" max="3350" width="16.6640625" style="194" customWidth="1"/>
    <col min="3351" max="3351" width="17.33203125" style="194" customWidth="1"/>
    <col min="3352" max="3352" width="15.5546875" style="194" customWidth="1"/>
    <col min="3353" max="3353" width="0" style="194" hidden="1"/>
    <col min="3354" max="3354" width="16.6640625" style="194" customWidth="1"/>
    <col min="3355" max="3355" width="17.44140625" style="194" customWidth="1"/>
    <col min="3356" max="3357" width="0" style="194" hidden="1"/>
    <col min="3358" max="3360" width="15.33203125" style="194" customWidth="1"/>
    <col min="3361" max="3361" width="17" style="194" customWidth="1"/>
    <col min="3362" max="3362" width="0" style="194" hidden="1"/>
    <col min="3363" max="3364" width="15.5546875" style="194" customWidth="1"/>
    <col min="3365" max="3365" width="13.6640625" style="194" customWidth="1"/>
    <col min="3366" max="3366" width="9" style="194" customWidth="1"/>
    <col min="3367" max="3367" width="49.88671875" style="194" customWidth="1"/>
    <col min="3368" max="3368" width="0" style="194" hidden="1"/>
    <col min="3369" max="3370" width="15.88671875" style="194" customWidth="1"/>
    <col min="3371" max="3371" width="14.5546875" style="194" customWidth="1"/>
    <col min="3372" max="3372" width="16.33203125" style="194" customWidth="1"/>
    <col min="3373" max="3373" width="18.109375" style="194" customWidth="1"/>
    <col min="3374" max="3374" width="14.109375" style="194" customWidth="1"/>
    <col min="3375" max="3601" width="0" style="194" hidden="1"/>
    <col min="3602" max="3602" width="7.5546875" style="194" customWidth="1"/>
    <col min="3603" max="3603" width="36.77734375" style="194" customWidth="1"/>
    <col min="3604" max="3605" width="0" style="194" hidden="1"/>
    <col min="3606" max="3606" width="16.6640625" style="194" customWidth="1"/>
    <col min="3607" max="3607" width="17.33203125" style="194" customWidth="1"/>
    <col min="3608" max="3608" width="15.5546875" style="194" customWidth="1"/>
    <col min="3609" max="3609" width="0" style="194" hidden="1"/>
    <col min="3610" max="3610" width="16.6640625" style="194" customWidth="1"/>
    <col min="3611" max="3611" width="17.44140625" style="194" customWidth="1"/>
    <col min="3612" max="3613" width="0" style="194" hidden="1"/>
    <col min="3614" max="3616" width="15.33203125" style="194" customWidth="1"/>
    <col min="3617" max="3617" width="17" style="194" customWidth="1"/>
    <col min="3618" max="3618" width="0" style="194" hidden="1"/>
    <col min="3619" max="3620" width="15.5546875" style="194" customWidth="1"/>
    <col min="3621" max="3621" width="13.6640625" style="194" customWidth="1"/>
    <col min="3622" max="3622" width="9" style="194" customWidth="1"/>
    <col min="3623" max="3623" width="49.88671875" style="194" customWidth="1"/>
    <col min="3624" max="3624" width="0" style="194" hidden="1"/>
    <col min="3625" max="3626" width="15.88671875" style="194" customWidth="1"/>
    <col min="3627" max="3627" width="14.5546875" style="194" customWidth="1"/>
    <col min="3628" max="3628" width="16.33203125" style="194" customWidth="1"/>
    <col min="3629" max="3629" width="18.109375" style="194" customWidth="1"/>
    <col min="3630" max="3630" width="14.109375" style="194" customWidth="1"/>
    <col min="3631" max="3857" width="0" style="194" hidden="1"/>
    <col min="3858" max="3858" width="7.5546875" style="194" customWidth="1"/>
    <col min="3859" max="3859" width="36.77734375" style="194" customWidth="1"/>
    <col min="3860" max="3861" width="0" style="194" hidden="1"/>
    <col min="3862" max="3862" width="16.6640625" style="194" customWidth="1"/>
    <col min="3863" max="3863" width="17.33203125" style="194" customWidth="1"/>
    <col min="3864" max="3864" width="15.5546875" style="194" customWidth="1"/>
    <col min="3865" max="3865" width="0" style="194" hidden="1"/>
    <col min="3866" max="3866" width="16.6640625" style="194" customWidth="1"/>
    <col min="3867" max="3867" width="17.44140625" style="194" customWidth="1"/>
    <col min="3868" max="3869" width="0" style="194" hidden="1"/>
    <col min="3870" max="3872" width="15.33203125" style="194" customWidth="1"/>
    <col min="3873" max="3873" width="17" style="194" customWidth="1"/>
    <col min="3874" max="3874" width="0" style="194" hidden="1"/>
    <col min="3875" max="3876" width="15.5546875" style="194" customWidth="1"/>
    <col min="3877" max="3877" width="13.6640625" style="194" customWidth="1"/>
    <col min="3878" max="3878" width="9" style="194" customWidth="1"/>
    <col min="3879" max="3879" width="49.88671875" style="194" customWidth="1"/>
    <col min="3880" max="3880" width="0" style="194" hidden="1"/>
    <col min="3881" max="3882" width="15.88671875" style="194" customWidth="1"/>
    <col min="3883" max="3883" width="14.5546875" style="194" customWidth="1"/>
    <col min="3884" max="3884" width="16.33203125" style="194" customWidth="1"/>
    <col min="3885" max="3885" width="18.109375" style="194" customWidth="1"/>
    <col min="3886" max="3886" width="14.109375" style="194" customWidth="1"/>
    <col min="3887" max="4113" width="0" style="194" hidden="1"/>
    <col min="4114" max="4114" width="7.5546875" style="194" customWidth="1"/>
    <col min="4115" max="4115" width="36.77734375" style="194" customWidth="1"/>
    <col min="4116" max="4117" width="0" style="194" hidden="1"/>
    <col min="4118" max="4118" width="16.6640625" style="194" customWidth="1"/>
    <col min="4119" max="4119" width="17.33203125" style="194" customWidth="1"/>
    <col min="4120" max="4120" width="15.5546875" style="194" customWidth="1"/>
    <col min="4121" max="4121" width="0" style="194" hidden="1"/>
    <col min="4122" max="4122" width="16.6640625" style="194" customWidth="1"/>
    <col min="4123" max="4123" width="17.44140625" style="194" customWidth="1"/>
    <col min="4124" max="4125" width="0" style="194" hidden="1"/>
    <col min="4126" max="4128" width="15.33203125" style="194" customWidth="1"/>
    <col min="4129" max="4129" width="17" style="194" customWidth="1"/>
    <col min="4130" max="4130" width="0" style="194" hidden="1"/>
    <col min="4131" max="4132" width="15.5546875" style="194" customWidth="1"/>
    <col min="4133" max="4133" width="13.6640625" style="194" customWidth="1"/>
    <col min="4134" max="4134" width="9" style="194" customWidth="1"/>
    <col min="4135" max="4135" width="49.88671875" style="194" customWidth="1"/>
    <col min="4136" max="4136" width="0" style="194" hidden="1"/>
    <col min="4137" max="4138" width="15.88671875" style="194" customWidth="1"/>
    <col min="4139" max="4139" width="14.5546875" style="194" customWidth="1"/>
    <col min="4140" max="4140" width="16.33203125" style="194" customWidth="1"/>
    <col min="4141" max="4141" width="18.109375" style="194" customWidth="1"/>
    <col min="4142" max="4142" width="14.109375" style="194" customWidth="1"/>
    <col min="4143" max="4369" width="0" style="194" hidden="1"/>
    <col min="4370" max="4370" width="7.5546875" style="194" customWidth="1"/>
    <col min="4371" max="4371" width="36.77734375" style="194" customWidth="1"/>
    <col min="4372" max="4373" width="0" style="194" hidden="1"/>
    <col min="4374" max="4374" width="16.6640625" style="194" customWidth="1"/>
    <col min="4375" max="4375" width="17.33203125" style="194" customWidth="1"/>
    <col min="4376" max="4376" width="15.5546875" style="194" customWidth="1"/>
    <col min="4377" max="4377" width="0" style="194" hidden="1"/>
    <col min="4378" max="4378" width="16.6640625" style="194" customWidth="1"/>
    <col min="4379" max="4379" width="17.44140625" style="194" customWidth="1"/>
    <col min="4380" max="4381" width="0" style="194" hidden="1"/>
    <col min="4382" max="4384" width="15.33203125" style="194" customWidth="1"/>
    <col min="4385" max="4385" width="17" style="194" customWidth="1"/>
    <col min="4386" max="4386" width="0" style="194" hidden="1"/>
    <col min="4387" max="4388" width="15.5546875" style="194" customWidth="1"/>
    <col min="4389" max="4389" width="13.6640625" style="194" customWidth="1"/>
    <col min="4390" max="4390" width="9" style="194" customWidth="1"/>
    <col min="4391" max="4391" width="49.88671875" style="194" customWidth="1"/>
    <col min="4392" max="4392" width="0" style="194" hidden="1"/>
    <col min="4393" max="4394" width="15.88671875" style="194" customWidth="1"/>
    <col min="4395" max="4395" width="14.5546875" style="194" customWidth="1"/>
    <col min="4396" max="4396" width="16.33203125" style="194" customWidth="1"/>
    <col min="4397" max="4397" width="18.109375" style="194" customWidth="1"/>
    <col min="4398" max="4398" width="14.109375" style="194" customWidth="1"/>
    <col min="4399" max="4625" width="0" style="194" hidden="1"/>
    <col min="4626" max="4626" width="7.5546875" style="194" customWidth="1"/>
    <col min="4627" max="4627" width="36.77734375" style="194" customWidth="1"/>
    <col min="4628" max="4629" width="0" style="194" hidden="1"/>
    <col min="4630" max="4630" width="16.6640625" style="194" customWidth="1"/>
    <col min="4631" max="4631" width="17.33203125" style="194" customWidth="1"/>
    <col min="4632" max="4632" width="15.5546875" style="194" customWidth="1"/>
    <col min="4633" max="4633" width="0" style="194" hidden="1"/>
    <col min="4634" max="4634" width="16.6640625" style="194" customWidth="1"/>
    <col min="4635" max="4635" width="17.44140625" style="194" customWidth="1"/>
    <col min="4636" max="4637" width="0" style="194" hidden="1"/>
    <col min="4638" max="4640" width="15.33203125" style="194" customWidth="1"/>
    <col min="4641" max="4641" width="17" style="194" customWidth="1"/>
    <col min="4642" max="4642" width="0" style="194" hidden="1"/>
    <col min="4643" max="4644" width="15.5546875" style="194" customWidth="1"/>
    <col min="4645" max="4645" width="13.6640625" style="194" customWidth="1"/>
    <col min="4646" max="4646" width="9" style="194" customWidth="1"/>
    <col min="4647" max="4647" width="49.88671875" style="194" customWidth="1"/>
    <col min="4648" max="4648" width="0" style="194" hidden="1"/>
    <col min="4649" max="4650" width="15.88671875" style="194" customWidth="1"/>
    <col min="4651" max="4651" width="14.5546875" style="194" customWidth="1"/>
    <col min="4652" max="4652" width="16.33203125" style="194" customWidth="1"/>
    <col min="4653" max="4653" width="18.109375" style="194" customWidth="1"/>
    <col min="4654" max="4654" width="14.109375" style="194" customWidth="1"/>
    <col min="4655" max="4881" width="0" style="194" hidden="1"/>
    <col min="4882" max="4882" width="7.5546875" style="194" customWidth="1"/>
    <col min="4883" max="4883" width="36.77734375" style="194" customWidth="1"/>
    <col min="4884" max="4885" width="0" style="194" hidden="1"/>
    <col min="4886" max="4886" width="16.6640625" style="194" customWidth="1"/>
    <col min="4887" max="4887" width="17.33203125" style="194" customWidth="1"/>
    <col min="4888" max="4888" width="15.5546875" style="194" customWidth="1"/>
    <col min="4889" max="4889" width="0" style="194" hidden="1"/>
    <col min="4890" max="4890" width="16.6640625" style="194" customWidth="1"/>
    <col min="4891" max="4891" width="17.44140625" style="194" customWidth="1"/>
    <col min="4892" max="4893" width="0" style="194" hidden="1"/>
    <col min="4894" max="4896" width="15.33203125" style="194" customWidth="1"/>
    <col min="4897" max="4897" width="17" style="194" customWidth="1"/>
    <col min="4898" max="4898" width="0" style="194" hidden="1"/>
    <col min="4899" max="4900" width="15.5546875" style="194" customWidth="1"/>
    <col min="4901" max="4901" width="13.6640625" style="194" customWidth="1"/>
    <col min="4902" max="4902" width="9" style="194" customWidth="1"/>
    <col min="4903" max="4903" width="49.88671875" style="194" customWidth="1"/>
    <col min="4904" max="4904" width="0" style="194" hidden="1"/>
    <col min="4905" max="4906" width="15.88671875" style="194" customWidth="1"/>
    <col min="4907" max="4907" width="14.5546875" style="194" customWidth="1"/>
    <col min="4908" max="4908" width="16.33203125" style="194" customWidth="1"/>
    <col min="4909" max="4909" width="18.109375" style="194" customWidth="1"/>
    <col min="4910" max="4910" width="14.109375" style="194" customWidth="1"/>
    <col min="4911" max="5137" width="0" style="194" hidden="1"/>
    <col min="5138" max="5138" width="7.5546875" style="194" customWidth="1"/>
    <col min="5139" max="5139" width="36.77734375" style="194" customWidth="1"/>
    <col min="5140" max="5141" width="0" style="194" hidden="1"/>
    <col min="5142" max="5142" width="16.6640625" style="194" customWidth="1"/>
    <col min="5143" max="5143" width="17.33203125" style="194" customWidth="1"/>
    <col min="5144" max="5144" width="15.5546875" style="194" customWidth="1"/>
    <col min="5145" max="5145" width="0" style="194" hidden="1"/>
    <col min="5146" max="5146" width="16.6640625" style="194" customWidth="1"/>
    <col min="5147" max="5147" width="17.44140625" style="194" customWidth="1"/>
    <col min="5148" max="5149" width="0" style="194" hidden="1"/>
    <col min="5150" max="5152" width="15.33203125" style="194" customWidth="1"/>
    <col min="5153" max="5153" width="17" style="194" customWidth="1"/>
    <col min="5154" max="5154" width="0" style="194" hidden="1"/>
    <col min="5155" max="5156" width="15.5546875" style="194" customWidth="1"/>
    <col min="5157" max="5157" width="13.6640625" style="194" customWidth="1"/>
    <col min="5158" max="5158" width="9" style="194" customWidth="1"/>
    <col min="5159" max="5159" width="49.88671875" style="194" customWidth="1"/>
    <col min="5160" max="5160" width="0" style="194" hidden="1"/>
    <col min="5161" max="5162" width="15.88671875" style="194" customWidth="1"/>
    <col min="5163" max="5163" width="14.5546875" style="194" customWidth="1"/>
    <col min="5164" max="5164" width="16.33203125" style="194" customWidth="1"/>
    <col min="5165" max="5165" width="18.109375" style="194" customWidth="1"/>
    <col min="5166" max="5166" width="14.109375" style="194" customWidth="1"/>
    <col min="5167" max="5393" width="0" style="194" hidden="1"/>
    <col min="5394" max="5394" width="7.5546875" style="194" customWidth="1"/>
    <col min="5395" max="5395" width="36.77734375" style="194" customWidth="1"/>
    <col min="5396" max="5397" width="0" style="194" hidden="1"/>
    <col min="5398" max="5398" width="16.6640625" style="194" customWidth="1"/>
    <col min="5399" max="5399" width="17.33203125" style="194" customWidth="1"/>
    <col min="5400" max="5400" width="15.5546875" style="194" customWidth="1"/>
    <col min="5401" max="5401" width="0" style="194" hidden="1"/>
    <col min="5402" max="5402" width="16.6640625" style="194" customWidth="1"/>
    <col min="5403" max="5403" width="17.44140625" style="194" customWidth="1"/>
    <col min="5404" max="5405" width="0" style="194" hidden="1"/>
    <col min="5406" max="5408" width="15.33203125" style="194" customWidth="1"/>
    <col min="5409" max="5409" width="17" style="194" customWidth="1"/>
    <col min="5410" max="5410" width="0" style="194" hidden="1"/>
    <col min="5411" max="5412" width="15.5546875" style="194" customWidth="1"/>
    <col min="5413" max="5413" width="13.6640625" style="194" customWidth="1"/>
    <col min="5414" max="5414" width="9" style="194" customWidth="1"/>
    <col min="5415" max="5415" width="49.88671875" style="194" customWidth="1"/>
    <col min="5416" max="5416" width="0" style="194" hidden="1"/>
    <col min="5417" max="5418" width="15.88671875" style="194" customWidth="1"/>
    <col min="5419" max="5419" width="14.5546875" style="194" customWidth="1"/>
    <col min="5420" max="5420" width="16.33203125" style="194" customWidth="1"/>
    <col min="5421" max="5421" width="18.109375" style="194" customWidth="1"/>
    <col min="5422" max="5422" width="14.109375" style="194" customWidth="1"/>
    <col min="5423" max="5649" width="0" style="194" hidden="1"/>
    <col min="5650" max="5650" width="7.5546875" style="194" customWidth="1"/>
    <col min="5651" max="5651" width="36.77734375" style="194" customWidth="1"/>
    <col min="5652" max="5653" width="0" style="194" hidden="1"/>
    <col min="5654" max="5654" width="16.6640625" style="194" customWidth="1"/>
    <col min="5655" max="5655" width="17.33203125" style="194" customWidth="1"/>
    <col min="5656" max="5656" width="15.5546875" style="194" customWidth="1"/>
    <col min="5657" max="5657" width="0" style="194" hidden="1"/>
    <col min="5658" max="5658" width="16.6640625" style="194" customWidth="1"/>
    <col min="5659" max="5659" width="17.44140625" style="194" customWidth="1"/>
    <col min="5660" max="5661" width="0" style="194" hidden="1"/>
    <col min="5662" max="5664" width="15.33203125" style="194" customWidth="1"/>
    <col min="5665" max="5665" width="17" style="194" customWidth="1"/>
    <col min="5666" max="5666" width="0" style="194" hidden="1"/>
    <col min="5667" max="5668" width="15.5546875" style="194" customWidth="1"/>
    <col min="5669" max="5669" width="13.6640625" style="194" customWidth="1"/>
    <col min="5670" max="5670" width="9" style="194" customWidth="1"/>
    <col min="5671" max="5671" width="49.88671875" style="194" customWidth="1"/>
    <col min="5672" max="5672" width="0" style="194" hidden="1"/>
    <col min="5673" max="5674" width="15.88671875" style="194" customWidth="1"/>
    <col min="5675" max="5675" width="14.5546875" style="194" customWidth="1"/>
    <col min="5676" max="5676" width="16.33203125" style="194" customWidth="1"/>
    <col min="5677" max="5677" width="18.109375" style="194" customWidth="1"/>
    <col min="5678" max="5678" width="14.109375" style="194" customWidth="1"/>
    <col min="5679" max="5905" width="0" style="194" hidden="1"/>
    <col min="5906" max="5906" width="7.5546875" style="194" customWidth="1"/>
    <col min="5907" max="5907" width="36.77734375" style="194" customWidth="1"/>
    <col min="5908" max="5909" width="0" style="194" hidden="1"/>
    <col min="5910" max="5910" width="16.6640625" style="194" customWidth="1"/>
    <col min="5911" max="5911" width="17.33203125" style="194" customWidth="1"/>
    <col min="5912" max="5912" width="15.5546875" style="194" customWidth="1"/>
    <col min="5913" max="5913" width="0" style="194" hidden="1"/>
    <col min="5914" max="5914" width="16.6640625" style="194" customWidth="1"/>
    <col min="5915" max="5915" width="17.44140625" style="194" customWidth="1"/>
    <col min="5916" max="5917" width="0" style="194" hidden="1"/>
    <col min="5918" max="5920" width="15.33203125" style="194" customWidth="1"/>
    <col min="5921" max="5921" width="17" style="194" customWidth="1"/>
    <col min="5922" max="5922" width="0" style="194" hidden="1"/>
    <col min="5923" max="5924" width="15.5546875" style="194" customWidth="1"/>
    <col min="5925" max="5925" width="13.6640625" style="194" customWidth="1"/>
    <col min="5926" max="5926" width="9" style="194" customWidth="1"/>
    <col min="5927" max="5927" width="49.88671875" style="194" customWidth="1"/>
    <col min="5928" max="5928" width="0" style="194" hidden="1"/>
    <col min="5929" max="5930" width="15.88671875" style="194" customWidth="1"/>
    <col min="5931" max="5931" width="14.5546875" style="194" customWidth="1"/>
    <col min="5932" max="5932" width="16.33203125" style="194" customWidth="1"/>
    <col min="5933" max="5933" width="18.109375" style="194" customWidth="1"/>
    <col min="5934" max="5934" width="14.109375" style="194" customWidth="1"/>
    <col min="5935" max="6161" width="0" style="194" hidden="1"/>
    <col min="6162" max="6162" width="7.5546875" style="194" customWidth="1"/>
    <col min="6163" max="6163" width="36.77734375" style="194" customWidth="1"/>
    <col min="6164" max="6165" width="0" style="194" hidden="1"/>
    <col min="6166" max="6166" width="16.6640625" style="194" customWidth="1"/>
    <col min="6167" max="6167" width="17.33203125" style="194" customWidth="1"/>
    <col min="6168" max="6168" width="15.5546875" style="194" customWidth="1"/>
    <col min="6169" max="6169" width="0" style="194" hidden="1"/>
    <col min="6170" max="6170" width="16.6640625" style="194" customWidth="1"/>
    <col min="6171" max="6171" width="17.44140625" style="194" customWidth="1"/>
    <col min="6172" max="6173" width="0" style="194" hidden="1"/>
    <col min="6174" max="6176" width="15.33203125" style="194" customWidth="1"/>
    <col min="6177" max="6177" width="17" style="194" customWidth="1"/>
    <col min="6178" max="6178" width="0" style="194" hidden="1"/>
    <col min="6179" max="6180" width="15.5546875" style="194" customWidth="1"/>
    <col min="6181" max="6181" width="13.6640625" style="194" customWidth="1"/>
    <col min="6182" max="6182" width="9" style="194" customWidth="1"/>
    <col min="6183" max="6183" width="49.88671875" style="194" customWidth="1"/>
    <col min="6184" max="6184" width="0" style="194" hidden="1"/>
    <col min="6185" max="6186" width="15.88671875" style="194" customWidth="1"/>
    <col min="6187" max="6187" width="14.5546875" style="194" customWidth="1"/>
    <col min="6188" max="6188" width="16.33203125" style="194" customWidth="1"/>
    <col min="6189" max="6189" width="18.109375" style="194" customWidth="1"/>
    <col min="6190" max="6190" width="14.109375" style="194" customWidth="1"/>
    <col min="6191" max="6417" width="0" style="194" hidden="1"/>
    <col min="6418" max="6418" width="7.5546875" style="194" customWidth="1"/>
    <col min="6419" max="6419" width="36.77734375" style="194" customWidth="1"/>
    <col min="6420" max="6421" width="0" style="194" hidden="1"/>
    <col min="6422" max="6422" width="16.6640625" style="194" customWidth="1"/>
    <col min="6423" max="6423" width="17.33203125" style="194" customWidth="1"/>
    <col min="6424" max="6424" width="15.5546875" style="194" customWidth="1"/>
    <col min="6425" max="6425" width="0" style="194" hidden="1"/>
    <col min="6426" max="6426" width="16.6640625" style="194" customWidth="1"/>
    <col min="6427" max="6427" width="17.44140625" style="194" customWidth="1"/>
    <col min="6428" max="6429" width="0" style="194" hidden="1"/>
    <col min="6430" max="6432" width="15.33203125" style="194" customWidth="1"/>
    <col min="6433" max="6433" width="17" style="194" customWidth="1"/>
    <col min="6434" max="6434" width="0" style="194" hidden="1"/>
    <col min="6435" max="6436" width="15.5546875" style="194" customWidth="1"/>
    <col min="6437" max="6437" width="13.6640625" style="194" customWidth="1"/>
    <col min="6438" max="6438" width="9" style="194" customWidth="1"/>
    <col min="6439" max="6439" width="49.88671875" style="194" customWidth="1"/>
    <col min="6440" max="6440" width="0" style="194" hidden="1"/>
    <col min="6441" max="6442" width="15.88671875" style="194" customWidth="1"/>
    <col min="6443" max="6443" width="14.5546875" style="194" customWidth="1"/>
    <col min="6444" max="6444" width="16.33203125" style="194" customWidth="1"/>
    <col min="6445" max="6445" width="18.109375" style="194" customWidth="1"/>
    <col min="6446" max="6446" width="14.109375" style="194" customWidth="1"/>
    <col min="6447" max="6673" width="0" style="194" hidden="1"/>
    <col min="6674" max="6674" width="7.5546875" style="194" customWidth="1"/>
    <col min="6675" max="6675" width="36.77734375" style="194" customWidth="1"/>
    <col min="6676" max="6677" width="0" style="194" hidden="1"/>
    <col min="6678" max="6678" width="16.6640625" style="194" customWidth="1"/>
    <col min="6679" max="6679" width="17.33203125" style="194" customWidth="1"/>
    <col min="6680" max="6680" width="15.5546875" style="194" customWidth="1"/>
    <col min="6681" max="6681" width="0" style="194" hidden="1"/>
    <col min="6682" max="6682" width="16.6640625" style="194" customWidth="1"/>
    <col min="6683" max="6683" width="17.44140625" style="194" customWidth="1"/>
    <col min="6684" max="6685" width="0" style="194" hidden="1"/>
    <col min="6686" max="6688" width="15.33203125" style="194" customWidth="1"/>
    <col min="6689" max="6689" width="17" style="194" customWidth="1"/>
    <col min="6690" max="6690" width="0" style="194" hidden="1"/>
    <col min="6691" max="6692" width="15.5546875" style="194" customWidth="1"/>
    <col min="6693" max="6693" width="13.6640625" style="194" customWidth="1"/>
    <col min="6694" max="6694" width="9" style="194" customWidth="1"/>
    <col min="6695" max="6695" width="49.88671875" style="194" customWidth="1"/>
    <col min="6696" max="6696" width="0" style="194" hidden="1"/>
    <col min="6697" max="6698" width="15.88671875" style="194" customWidth="1"/>
    <col min="6699" max="6699" width="14.5546875" style="194" customWidth="1"/>
    <col min="6700" max="6700" width="16.33203125" style="194" customWidth="1"/>
    <col min="6701" max="6701" width="18.109375" style="194" customWidth="1"/>
    <col min="6702" max="6702" width="14.109375" style="194" customWidth="1"/>
    <col min="6703" max="6929" width="0" style="194" hidden="1"/>
    <col min="6930" max="6930" width="7.5546875" style="194" customWidth="1"/>
    <col min="6931" max="6931" width="36.77734375" style="194" customWidth="1"/>
    <col min="6932" max="6933" width="0" style="194" hidden="1"/>
    <col min="6934" max="6934" width="16.6640625" style="194" customWidth="1"/>
    <col min="6935" max="6935" width="17.33203125" style="194" customWidth="1"/>
    <col min="6936" max="6936" width="15.5546875" style="194" customWidth="1"/>
    <col min="6937" max="6937" width="0" style="194" hidden="1"/>
    <col min="6938" max="6938" width="16.6640625" style="194" customWidth="1"/>
    <col min="6939" max="6939" width="17.44140625" style="194" customWidth="1"/>
    <col min="6940" max="6941" width="0" style="194" hidden="1"/>
    <col min="6942" max="6944" width="15.33203125" style="194" customWidth="1"/>
    <col min="6945" max="6945" width="17" style="194" customWidth="1"/>
    <col min="6946" max="6946" width="0" style="194" hidden="1"/>
    <col min="6947" max="6948" width="15.5546875" style="194" customWidth="1"/>
    <col min="6949" max="6949" width="13.6640625" style="194" customWidth="1"/>
    <col min="6950" max="6950" width="9" style="194" customWidth="1"/>
    <col min="6951" max="6951" width="49.88671875" style="194" customWidth="1"/>
    <col min="6952" max="6952" width="0" style="194" hidden="1"/>
    <col min="6953" max="6954" width="15.88671875" style="194" customWidth="1"/>
    <col min="6955" max="6955" width="14.5546875" style="194" customWidth="1"/>
    <col min="6956" max="6956" width="16.33203125" style="194" customWidth="1"/>
    <col min="6957" max="6957" width="18.109375" style="194" customWidth="1"/>
    <col min="6958" max="6958" width="14.109375" style="194" customWidth="1"/>
    <col min="6959" max="7185" width="0" style="194" hidden="1"/>
    <col min="7186" max="7186" width="7.5546875" style="194" customWidth="1"/>
    <col min="7187" max="7187" width="36.77734375" style="194" customWidth="1"/>
    <col min="7188" max="7189" width="0" style="194" hidden="1"/>
    <col min="7190" max="7190" width="16.6640625" style="194" customWidth="1"/>
    <col min="7191" max="7191" width="17.33203125" style="194" customWidth="1"/>
    <col min="7192" max="7192" width="15.5546875" style="194" customWidth="1"/>
    <col min="7193" max="7193" width="0" style="194" hidden="1"/>
    <col min="7194" max="7194" width="16.6640625" style="194" customWidth="1"/>
    <col min="7195" max="7195" width="17.44140625" style="194" customWidth="1"/>
    <col min="7196" max="7197" width="0" style="194" hidden="1"/>
    <col min="7198" max="7200" width="15.33203125" style="194" customWidth="1"/>
    <col min="7201" max="7201" width="17" style="194" customWidth="1"/>
    <col min="7202" max="7202" width="0" style="194" hidden="1"/>
    <col min="7203" max="7204" width="15.5546875" style="194" customWidth="1"/>
    <col min="7205" max="7205" width="13.6640625" style="194" customWidth="1"/>
    <col min="7206" max="7206" width="9" style="194" customWidth="1"/>
    <col min="7207" max="7207" width="49.88671875" style="194" customWidth="1"/>
    <col min="7208" max="7208" width="0" style="194" hidden="1"/>
    <col min="7209" max="7210" width="15.88671875" style="194" customWidth="1"/>
    <col min="7211" max="7211" width="14.5546875" style="194" customWidth="1"/>
    <col min="7212" max="7212" width="16.33203125" style="194" customWidth="1"/>
    <col min="7213" max="7213" width="18.109375" style="194" customWidth="1"/>
    <col min="7214" max="7214" width="14.109375" style="194" customWidth="1"/>
    <col min="7215" max="7441" width="0" style="194" hidden="1"/>
    <col min="7442" max="7442" width="7.5546875" style="194" customWidth="1"/>
    <col min="7443" max="7443" width="36.77734375" style="194" customWidth="1"/>
    <col min="7444" max="7445" width="0" style="194" hidden="1"/>
    <col min="7446" max="7446" width="16.6640625" style="194" customWidth="1"/>
    <col min="7447" max="7447" width="17.33203125" style="194" customWidth="1"/>
    <col min="7448" max="7448" width="15.5546875" style="194" customWidth="1"/>
    <col min="7449" max="7449" width="0" style="194" hidden="1"/>
    <col min="7450" max="7450" width="16.6640625" style="194" customWidth="1"/>
    <col min="7451" max="7451" width="17.44140625" style="194" customWidth="1"/>
    <col min="7452" max="7453" width="0" style="194" hidden="1"/>
    <col min="7454" max="7456" width="15.33203125" style="194" customWidth="1"/>
    <col min="7457" max="7457" width="17" style="194" customWidth="1"/>
    <col min="7458" max="7458" width="0" style="194" hidden="1"/>
    <col min="7459" max="7460" width="15.5546875" style="194" customWidth="1"/>
    <col min="7461" max="7461" width="13.6640625" style="194" customWidth="1"/>
    <col min="7462" max="7462" width="9" style="194" customWidth="1"/>
    <col min="7463" max="7463" width="49.88671875" style="194" customWidth="1"/>
    <col min="7464" max="7464" width="0" style="194" hidden="1"/>
    <col min="7465" max="7466" width="15.88671875" style="194" customWidth="1"/>
    <col min="7467" max="7467" width="14.5546875" style="194" customWidth="1"/>
    <col min="7468" max="7468" width="16.33203125" style="194" customWidth="1"/>
    <col min="7469" max="7469" width="18.109375" style="194" customWidth="1"/>
    <col min="7470" max="7470" width="14.109375" style="194" customWidth="1"/>
    <col min="7471" max="7697" width="0" style="194" hidden="1"/>
    <col min="7698" max="7698" width="7.5546875" style="194" customWidth="1"/>
    <col min="7699" max="7699" width="36.77734375" style="194" customWidth="1"/>
    <col min="7700" max="7701" width="0" style="194" hidden="1"/>
    <col min="7702" max="7702" width="16.6640625" style="194" customWidth="1"/>
    <col min="7703" max="7703" width="17.33203125" style="194" customWidth="1"/>
    <col min="7704" max="7704" width="15.5546875" style="194" customWidth="1"/>
    <col min="7705" max="7705" width="0" style="194" hidden="1"/>
    <col min="7706" max="7706" width="16.6640625" style="194" customWidth="1"/>
    <col min="7707" max="7707" width="17.44140625" style="194" customWidth="1"/>
    <col min="7708" max="7709" width="0" style="194" hidden="1"/>
    <col min="7710" max="7712" width="15.33203125" style="194" customWidth="1"/>
    <col min="7713" max="7713" width="17" style="194" customWidth="1"/>
    <col min="7714" max="7714" width="0" style="194" hidden="1"/>
    <col min="7715" max="7716" width="15.5546875" style="194" customWidth="1"/>
    <col min="7717" max="7717" width="13.6640625" style="194" customWidth="1"/>
    <col min="7718" max="7718" width="9" style="194" customWidth="1"/>
    <col min="7719" max="7719" width="49.88671875" style="194" customWidth="1"/>
    <col min="7720" max="7720" width="0" style="194" hidden="1"/>
    <col min="7721" max="7722" width="15.88671875" style="194" customWidth="1"/>
    <col min="7723" max="7723" width="14.5546875" style="194" customWidth="1"/>
    <col min="7724" max="7724" width="16.33203125" style="194" customWidth="1"/>
    <col min="7725" max="7725" width="18.109375" style="194" customWidth="1"/>
    <col min="7726" max="7726" width="14.109375" style="194" customWidth="1"/>
    <col min="7727" max="7953" width="0" style="194" hidden="1"/>
    <col min="7954" max="7954" width="7.5546875" style="194" customWidth="1"/>
    <col min="7955" max="7955" width="36.77734375" style="194" customWidth="1"/>
    <col min="7956" max="7957" width="0" style="194" hidden="1"/>
    <col min="7958" max="7958" width="16.6640625" style="194" customWidth="1"/>
    <col min="7959" max="7959" width="17.33203125" style="194" customWidth="1"/>
    <col min="7960" max="7960" width="15.5546875" style="194" customWidth="1"/>
    <col min="7961" max="7961" width="0" style="194" hidden="1"/>
    <col min="7962" max="7962" width="16.6640625" style="194" customWidth="1"/>
    <col min="7963" max="7963" width="17.44140625" style="194" customWidth="1"/>
    <col min="7964" max="7965" width="0" style="194" hidden="1"/>
    <col min="7966" max="7968" width="15.33203125" style="194" customWidth="1"/>
    <col min="7969" max="7969" width="17" style="194" customWidth="1"/>
    <col min="7970" max="7970" width="0" style="194" hidden="1"/>
    <col min="7971" max="7972" width="15.5546875" style="194" customWidth="1"/>
    <col min="7973" max="7973" width="13.6640625" style="194" customWidth="1"/>
    <col min="7974" max="7974" width="9" style="194" customWidth="1"/>
    <col min="7975" max="7975" width="49.88671875" style="194" customWidth="1"/>
    <col min="7976" max="7976" width="0" style="194" hidden="1"/>
    <col min="7977" max="7978" width="15.88671875" style="194" customWidth="1"/>
    <col min="7979" max="7979" width="14.5546875" style="194" customWidth="1"/>
    <col min="7980" max="7980" width="16.33203125" style="194" customWidth="1"/>
    <col min="7981" max="7981" width="18.109375" style="194" customWidth="1"/>
    <col min="7982" max="7982" width="14.109375" style="194" customWidth="1"/>
    <col min="7983" max="8209" width="0" style="194" hidden="1"/>
    <col min="8210" max="8210" width="7.5546875" style="194" customWidth="1"/>
    <col min="8211" max="8211" width="36.77734375" style="194" customWidth="1"/>
    <col min="8212" max="8213" width="0" style="194" hidden="1"/>
    <col min="8214" max="8214" width="16.6640625" style="194" customWidth="1"/>
    <col min="8215" max="8215" width="17.33203125" style="194" customWidth="1"/>
    <col min="8216" max="8216" width="15.5546875" style="194" customWidth="1"/>
    <col min="8217" max="8217" width="0" style="194" hidden="1"/>
    <col min="8218" max="8218" width="16.6640625" style="194" customWidth="1"/>
    <col min="8219" max="8219" width="17.44140625" style="194" customWidth="1"/>
    <col min="8220" max="8221" width="0" style="194" hidden="1"/>
    <col min="8222" max="8224" width="15.33203125" style="194" customWidth="1"/>
    <col min="8225" max="8225" width="17" style="194" customWidth="1"/>
    <col min="8226" max="8226" width="0" style="194" hidden="1"/>
    <col min="8227" max="8228" width="15.5546875" style="194" customWidth="1"/>
    <col min="8229" max="8229" width="13.6640625" style="194" customWidth="1"/>
    <col min="8230" max="8230" width="9" style="194" customWidth="1"/>
    <col min="8231" max="8231" width="49.88671875" style="194" customWidth="1"/>
    <col min="8232" max="8232" width="0" style="194" hidden="1"/>
    <col min="8233" max="8234" width="15.88671875" style="194" customWidth="1"/>
    <col min="8235" max="8235" width="14.5546875" style="194" customWidth="1"/>
    <col min="8236" max="8236" width="16.33203125" style="194" customWidth="1"/>
    <col min="8237" max="8237" width="18.109375" style="194" customWidth="1"/>
    <col min="8238" max="8238" width="14.109375" style="194" customWidth="1"/>
    <col min="8239" max="8465" width="0" style="194" hidden="1"/>
    <col min="8466" max="8466" width="7.5546875" style="194" customWidth="1"/>
    <col min="8467" max="8467" width="36.77734375" style="194" customWidth="1"/>
    <col min="8468" max="8469" width="0" style="194" hidden="1"/>
    <col min="8470" max="8470" width="16.6640625" style="194" customWidth="1"/>
    <col min="8471" max="8471" width="17.33203125" style="194" customWidth="1"/>
    <col min="8472" max="8472" width="15.5546875" style="194" customWidth="1"/>
    <col min="8473" max="8473" width="0" style="194" hidden="1"/>
    <col min="8474" max="8474" width="16.6640625" style="194" customWidth="1"/>
    <col min="8475" max="8475" width="17.44140625" style="194" customWidth="1"/>
    <col min="8476" max="8477" width="0" style="194" hidden="1"/>
    <col min="8478" max="8480" width="15.33203125" style="194" customWidth="1"/>
    <col min="8481" max="8481" width="17" style="194" customWidth="1"/>
    <col min="8482" max="8482" width="0" style="194" hidden="1"/>
    <col min="8483" max="8484" width="15.5546875" style="194" customWidth="1"/>
    <col min="8485" max="8485" width="13.6640625" style="194" customWidth="1"/>
    <col min="8486" max="8486" width="9" style="194" customWidth="1"/>
    <col min="8487" max="8487" width="49.88671875" style="194" customWidth="1"/>
    <col min="8488" max="8488" width="0" style="194" hidden="1"/>
    <col min="8489" max="8490" width="15.88671875" style="194" customWidth="1"/>
    <col min="8491" max="8491" width="14.5546875" style="194" customWidth="1"/>
    <col min="8492" max="8492" width="16.33203125" style="194" customWidth="1"/>
    <col min="8493" max="8493" width="18.109375" style="194" customWidth="1"/>
    <col min="8494" max="8494" width="14.109375" style="194" customWidth="1"/>
    <col min="8495" max="8721" width="0" style="194" hidden="1"/>
    <col min="8722" max="8722" width="7.5546875" style="194" customWidth="1"/>
    <col min="8723" max="8723" width="36.77734375" style="194" customWidth="1"/>
    <col min="8724" max="8725" width="0" style="194" hidden="1"/>
    <col min="8726" max="8726" width="16.6640625" style="194" customWidth="1"/>
    <col min="8727" max="8727" width="17.33203125" style="194" customWidth="1"/>
    <col min="8728" max="8728" width="15.5546875" style="194" customWidth="1"/>
    <col min="8729" max="8729" width="0" style="194" hidden="1"/>
    <col min="8730" max="8730" width="16.6640625" style="194" customWidth="1"/>
    <col min="8731" max="8731" width="17.44140625" style="194" customWidth="1"/>
    <col min="8732" max="8733" width="0" style="194" hidden="1"/>
    <col min="8734" max="8736" width="15.33203125" style="194" customWidth="1"/>
    <col min="8737" max="8737" width="17" style="194" customWidth="1"/>
    <col min="8738" max="8738" width="0" style="194" hidden="1"/>
    <col min="8739" max="8740" width="15.5546875" style="194" customWidth="1"/>
    <col min="8741" max="8741" width="13.6640625" style="194" customWidth="1"/>
    <col min="8742" max="8742" width="9" style="194" customWidth="1"/>
    <col min="8743" max="8743" width="49.88671875" style="194" customWidth="1"/>
    <col min="8744" max="8744" width="0" style="194" hidden="1"/>
    <col min="8745" max="8746" width="15.88671875" style="194" customWidth="1"/>
    <col min="8747" max="8747" width="14.5546875" style="194" customWidth="1"/>
    <col min="8748" max="8748" width="16.33203125" style="194" customWidth="1"/>
    <col min="8749" max="8749" width="18.109375" style="194" customWidth="1"/>
    <col min="8750" max="8750" width="14.109375" style="194" customWidth="1"/>
    <col min="8751" max="8977" width="0" style="194" hidden="1"/>
    <col min="8978" max="8978" width="7.5546875" style="194" customWidth="1"/>
    <col min="8979" max="8979" width="36.77734375" style="194" customWidth="1"/>
    <col min="8980" max="8981" width="0" style="194" hidden="1"/>
    <col min="8982" max="8982" width="16.6640625" style="194" customWidth="1"/>
    <col min="8983" max="8983" width="17.33203125" style="194" customWidth="1"/>
    <col min="8984" max="8984" width="15.5546875" style="194" customWidth="1"/>
    <col min="8985" max="8985" width="0" style="194" hidden="1"/>
    <col min="8986" max="8986" width="16.6640625" style="194" customWidth="1"/>
    <col min="8987" max="8987" width="17.44140625" style="194" customWidth="1"/>
    <col min="8988" max="8989" width="0" style="194" hidden="1"/>
    <col min="8990" max="8992" width="15.33203125" style="194" customWidth="1"/>
    <col min="8993" max="8993" width="17" style="194" customWidth="1"/>
    <col min="8994" max="8994" width="0" style="194" hidden="1"/>
    <col min="8995" max="8996" width="15.5546875" style="194" customWidth="1"/>
    <col min="8997" max="8997" width="13.6640625" style="194" customWidth="1"/>
    <col min="8998" max="8998" width="9" style="194" customWidth="1"/>
    <col min="8999" max="8999" width="49.88671875" style="194" customWidth="1"/>
    <col min="9000" max="9000" width="0" style="194" hidden="1"/>
    <col min="9001" max="9002" width="15.88671875" style="194" customWidth="1"/>
    <col min="9003" max="9003" width="14.5546875" style="194" customWidth="1"/>
    <col min="9004" max="9004" width="16.33203125" style="194" customWidth="1"/>
    <col min="9005" max="9005" width="18.109375" style="194" customWidth="1"/>
    <col min="9006" max="9006" width="14.109375" style="194" customWidth="1"/>
    <col min="9007" max="9233" width="0" style="194" hidden="1"/>
    <col min="9234" max="9234" width="7.5546875" style="194" customWidth="1"/>
    <col min="9235" max="9235" width="36.77734375" style="194" customWidth="1"/>
    <col min="9236" max="9237" width="0" style="194" hidden="1"/>
    <col min="9238" max="9238" width="16.6640625" style="194" customWidth="1"/>
    <col min="9239" max="9239" width="17.33203125" style="194" customWidth="1"/>
    <col min="9240" max="9240" width="15.5546875" style="194" customWidth="1"/>
    <col min="9241" max="9241" width="0" style="194" hidden="1"/>
    <col min="9242" max="9242" width="16.6640625" style="194" customWidth="1"/>
    <col min="9243" max="9243" width="17.44140625" style="194" customWidth="1"/>
    <col min="9244" max="9245" width="0" style="194" hidden="1"/>
    <col min="9246" max="9248" width="15.33203125" style="194" customWidth="1"/>
    <col min="9249" max="9249" width="17" style="194" customWidth="1"/>
    <col min="9250" max="9250" width="0" style="194" hidden="1"/>
    <col min="9251" max="9252" width="15.5546875" style="194" customWidth="1"/>
    <col min="9253" max="9253" width="13.6640625" style="194" customWidth="1"/>
    <col min="9254" max="9254" width="9" style="194" customWidth="1"/>
    <col min="9255" max="9255" width="49.88671875" style="194" customWidth="1"/>
    <col min="9256" max="9256" width="0" style="194" hidden="1"/>
    <col min="9257" max="9258" width="15.88671875" style="194" customWidth="1"/>
    <col min="9259" max="9259" width="14.5546875" style="194" customWidth="1"/>
    <col min="9260" max="9260" width="16.33203125" style="194" customWidth="1"/>
    <col min="9261" max="9261" width="18.109375" style="194" customWidth="1"/>
    <col min="9262" max="9262" width="14.109375" style="194" customWidth="1"/>
    <col min="9263" max="9489" width="0" style="194" hidden="1"/>
    <col min="9490" max="9490" width="7.5546875" style="194" customWidth="1"/>
    <col min="9491" max="9491" width="36.77734375" style="194" customWidth="1"/>
    <col min="9492" max="9493" width="0" style="194" hidden="1"/>
    <col min="9494" max="9494" width="16.6640625" style="194" customWidth="1"/>
    <col min="9495" max="9495" width="17.33203125" style="194" customWidth="1"/>
    <col min="9496" max="9496" width="15.5546875" style="194" customWidth="1"/>
    <col min="9497" max="9497" width="0" style="194" hidden="1"/>
    <col min="9498" max="9498" width="16.6640625" style="194" customWidth="1"/>
    <col min="9499" max="9499" width="17.44140625" style="194" customWidth="1"/>
    <col min="9500" max="9501" width="0" style="194" hidden="1"/>
    <col min="9502" max="9504" width="15.33203125" style="194" customWidth="1"/>
    <col min="9505" max="9505" width="17" style="194" customWidth="1"/>
    <col min="9506" max="9506" width="0" style="194" hidden="1"/>
    <col min="9507" max="9508" width="15.5546875" style="194" customWidth="1"/>
    <col min="9509" max="9509" width="13.6640625" style="194" customWidth="1"/>
    <col min="9510" max="9510" width="9" style="194" customWidth="1"/>
    <col min="9511" max="9511" width="49.88671875" style="194" customWidth="1"/>
    <col min="9512" max="9512" width="0" style="194" hidden="1"/>
    <col min="9513" max="9514" width="15.88671875" style="194" customWidth="1"/>
    <col min="9515" max="9515" width="14.5546875" style="194" customWidth="1"/>
    <col min="9516" max="9516" width="16.33203125" style="194" customWidth="1"/>
    <col min="9517" max="9517" width="18.109375" style="194" customWidth="1"/>
    <col min="9518" max="9518" width="14.109375" style="194" customWidth="1"/>
    <col min="9519" max="9745" width="0" style="194" hidden="1"/>
    <col min="9746" max="9746" width="7.5546875" style="194" customWidth="1"/>
    <col min="9747" max="9747" width="36.77734375" style="194" customWidth="1"/>
    <col min="9748" max="9749" width="0" style="194" hidden="1"/>
    <col min="9750" max="9750" width="16.6640625" style="194" customWidth="1"/>
    <col min="9751" max="9751" width="17.33203125" style="194" customWidth="1"/>
    <col min="9752" max="9752" width="15.5546875" style="194" customWidth="1"/>
    <col min="9753" max="9753" width="0" style="194" hidden="1"/>
    <col min="9754" max="9754" width="16.6640625" style="194" customWidth="1"/>
    <col min="9755" max="9755" width="17.44140625" style="194" customWidth="1"/>
    <col min="9756" max="9757" width="0" style="194" hidden="1"/>
    <col min="9758" max="9760" width="15.33203125" style="194" customWidth="1"/>
    <col min="9761" max="9761" width="17" style="194" customWidth="1"/>
    <col min="9762" max="9762" width="0" style="194" hidden="1"/>
    <col min="9763" max="9764" width="15.5546875" style="194" customWidth="1"/>
    <col min="9765" max="9765" width="13.6640625" style="194" customWidth="1"/>
    <col min="9766" max="9766" width="9" style="194" customWidth="1"/>
    <col min="9767" max="9767" width="49.88671875" style="194" customWidth="1"/>
    <col min="9768" max="9768" width="0" style="194" hidden="1"/>
    <col min="9769" max="9770" width="15.88671875" style="194" customWidth="1"/>
    <col min="9771" max="9771" width="14.5546875" style="194" customWidth="1"/>
    <col min="9772" max="9772" width="16.33203125" style="194" customWidth="1"/>
    <col min="9773" max="9773" width="18.109375" style="194" customWidth="1"/>
    <col min="9774" max="9774" width="14.109375" style="194" customWidth="1"/>
    <col min="9775" max="10001" width="0" style="194" hidden="1"/>
    <col min="10002" max="10002" width="7.5546875" style="194" customWidth="1"/>
    <col min="10003" max="10003" width="36.77734375" style="194" customWidth="1"/>
    <col min="10004" max="10005" width="0" style="194" hidden="1"/>
    <col min="10006" max="10006" width="16.6640625" style="194" customWidth="1"/>
    <col min="10007" max="10007" width="17.33203125" style="194" customWidth="1"/>
    <col min="10008" max="10008" width="15.5546875" style="194" customWidth="1"/>
    <col min="10009" max="10009" width="0" style="194" hidden="1"/>
    <col min="10010" max="10010" width="16.6640625" style="194" customWidth="1"/>
    <col min="10011" max="10011" width="17.44140625" style="194" customWidth="1"/>
    <col min="10012" max="10013" width="0" style="194" hidden="1"/>
    <col min="10014" max="10016" width="15.33203125" style="194" customWidth="1"/>
    <col min="10017" max="10017" width="17" style="194" customWidth="1"/>
    <col min="10018" max="10018" width="0" style="194" hidden="1"/>
    <col min="10019" max="10020" width="15.5546875" style="194" customWidth="1"/>
    <col min="10021" max="10021" width="13.6640625" style="194" customWidth="1"/>
    <col min="10022" max="10022" width="9" style="194" customWidth="1"/>
    <col min="10023" max="10023" width="49.88671875" style="194" customWidth="1"/>
    <col min="10024" max="10024" width="0" style="194" hidden="1"/>
    <col min="10025" max="10026" width="15.88671875" style="194" customWidth="1"/>
    <col min="10027" max="10027" width="14.5546875" style="194" customWidth="1"/>
    <col min="10028" max="10028" width="16.33203125" style="194" customWidth="1"/>
    <col min="10029" max="10029" width="18.109375" style="194" customWidth="1"/>
    <col min="10030" max="10030" width="14.109375" style="194" customWidth="1"/>
    <col min="10031" max="10257" width="0" style="194" hidden="1"/>
    <col min="10258" max="10258" width="7.5546875" style="194" customWidth="1"/>
    <col min="10259" max="10259" width="36.77734375" style="194" customWidth="1"/>
    <col min="10260" max="10261" width="0" style="194" hidden="1"/>
    <col min="10262" max="10262" width="16.6640625" style="194" customWidth="1"/>
    <col min="10263" max="10263" width="17.33203125" style="194" customWidth="1"/>
    <col min="10264" max="10264" width="15.5546875" style="194" customWidth="1"/>
    <col min="10265" max="10265" width="0" style="194" hidden="1"/>
    <col min="10266" max="10266" width="16.6640625" style="194" customWidth="1"/>
    <col min="10267" max="10267" width="17.44140625" style="194" customWidth="1"/>
    <col min="10268" max="10269" width="0" style="194" hidden="1"/>
    <col min="10270" max="10272" width="15.33203125" style="194" customWidth="1"/>
    <col min="10273" max="10273" width="17" style="194" customWidth="1"/>
    <col min="10274" max="10274" width="0" style="194" hidden="1"/>
    <col min="10275" max="10276" width="15.5546875" style="194" customWidth="1"/>
    <col min="10277" max="10277" width="13.6640625" style="194" customWidth="1"/>
    <col min="10278" max="10278" width="9" style="194" customWidth="1"/>
    <col min="10279" max="10279" width="49.88671875" style="194" customWidth="1"/>
    <col min="10280" max="10280" width="0" style="194" hidden="1"/>
    <col min="10281" max="10282" width="15.88671875" style="194" customWidth="1"/>
    <col min="10283" max="10283" width="14.5546875" style="194" customWidth="1"/>
    <col min="10284" max="10284" width="16.33203125" style="194" customWidth="1"/>
    <col min="10285" max="10285" width="18.109375" style="194" customWidth="1"/>
    <col min="10286" max="10286" width="14.109375" style="194" customWidth="1"/>
    <col min="10287" max="10513" width="0" style="194" hidden="1"/>
    <col min="10514" max="10514" width="7.5546875" style="194" customWidth="1"/>
    <col min="10515" max="10515" width="36.77734375" style="194" customWidth="1"/>
    <col min="10516" max="10517" width="0" style="194" hidden="1"/>
    <col min="10518" max="10518" width="16.6640625" style="194" customWidth="1"/>
    <col min="10519" max="10519" width="17.33203125" style="194" customWidth="1"/>
    <col min="10520" max="10520" width="15.5546875" style="194" customWidth="1"/>
    <col min="10521" max="10521" width="0" style="194" hidden="1"/>
    <col min="10522" max="10522" width="16.6640625" style="194" customWidth="1"/>
    <col min="10523" max="10523" width="17.44140625" style="194" customWidth="1"/>
    <col min="10524" max="10525" width="0" style="194" hidden="1"/>
    <col min="10526" max="10528" width="15.33203125" style="194" customWidth="1"/>
    <col min="10529" max="10529" width="17" style="194" customWidth="1"/>
    <col min="10530" max="10530" width="0" style="194" hidden="1"/>
    <col min="10531" max="10532" width="15.5546875" style="194" customWidth="1"/>
    <col min="10533" max="10533" width="13.6640625" style="194" customWidth="1"/>
    <col min="10534" max="10534" width="9" style="194" customWidth="1"/>
    <col min="10535" max="10535" width="49.88671875" style="194" customWidth="1"/>
    <col min="10536" max="10536" width="0" style="194" hidden="1"/>
    <col min="10537" max="10538" width="15.88671875" style="194" customWidth="1"/>
    <col min="10539" max="10539" width="14.5546875" style="194" customWidth="1"/>
    <col min="10540" max="10540" width="16.33203125" style="194" customWidth="1"/>
    <col min="10541" max="10541" width="18.109375" style="194" customWidth="1"/>
    <col min="10542" max="10542" width="14.109375" style="194" customWidth="1"/>
    <col min="10543" max="10769" width="0" style="194" hidden="1"/>
    <col min="10770" max="10770" width="7.5546875" style="194" customWidth="1"/>
    <col min="10771" max="10771" width="36.77734375" style="194" customWidth="1"/>
    <col min="10772" max="10773" width="0" style="194" hidden="1"/>
    <col min="10774" max="10774" width="16.6640625" style="194" customWidth="1"/>
    <col min="10775" max="10775" width="17.33203125" style="194" customWidth="1"/>
    <col min="10776" max="10776" width="15.5546875" style="194" customWidth="1"/>
    <col min="10777" max="10777" width="0" style="194" hidden="1"/>
    <col min="10778" max="10778" width="16.6640625" style="194" customWidth="1"/>
    <col min="10779" max="10779" width="17.44140625" style="194" customWidth="1"/>
    <col min="10780" max="10781" width="0" style="194" hidden="1"/>
    <col min="10782" max="10784" width="15.33203125" style="194" customWidth="1"/>
    <col min="10785" max="10785" width="17" style="194" customWidth="1"/>
    <col min="10786" max="10786" width="0" style="194" hidden="1"/>
    <col min="10787" max="10788" width="15.5546875" style="194" customWidth="1"/>
    <col min="10789" max="10789" width="13.6640625" style="194" customWidth="1"/>
    <col min="10790" max="10790" width="9" style="194" customWidth="1"/>
    <col min="10791" max="10791" width="49.88671875" style="194" customWidth="1"/>
    <col min="10792" max="10792" width="0" style="194" hidden="1"/>
    <col min="10793" max="10794" width="15.88671875" style="194" customWidth="1"/>
    <col min="10795" max="10795" width="14.5546875" style="194" customWidth="1"/>
    <col min="10796" max="10796" width="16.33203125" style="194" customWidth="1"/>
    <col min="10797" max="10797" width="18.109375" style="194" customWidth="1"/>
    <col min="10798" max="10798" width="14.109375" style="194" customWidth="1"/>
    <col min="10799" max="11025" width="0" style="194" hidden="1"/>
    <col min="11026" max="11026" width="7.5546875" style="194" customWidth="1"/>
    <col min="11027" max="11027" width="36.77734375" style="194" customWidth="1"/>
    <col min="11028" max="11029" width="0" style="194" hidden="1"/>
    <col min="11030" max="11030" width="16.6640625" style="194" customWidth="1"/>
    <col min="11031" max="11031" width="17.33203125" style="194" customWidth="1"/>
    <col min="11032" max="11032" width="15.5546875" style="194" customWidth="1"/>
    <col min="11033" max="11033" width="0" style="194" hidden="1"/>
    <col min="11034" max="11034" width="16.6640625" style="194" customWidth="1"/>
    <col min="11035" max="11035" width="17.44140625" style="194" customWidth="1"/>
    <col min="11036" max="11037" width="0" style="194" hidden="1"/>
    <col min="11038" max="11040" width="15.33203125" style="194" customWidth="1"/>
    <col min="11041" max="11041" width="17" style="194" customWidth="1"/>
    <col min="11042" max="11042" width="0" style="194" hidden="1"/>
    <col min="11043" max="11044" width="15.5546875" style="194" customWidth="1"/>
    <col min="11045" max="11045" width="13.6640625" style="194" customWidth="1"/>
    <col min="11046" max="11046" width="9" style="194" customWidth="1"/>
    <col min="11047" max="11047" width="49.88671875" style="194" customWidth="1"/>
    <col min="11048" max="11048" width="0" style="194" hidden="1"/>
    <col min="11049" max="11050" width="15.88671875" style="194" customWidth="1"/>
    <col min="11051" max="11051" width="14.5546875" style="194" customWidth="1"/>
    <col min="11052" max="11052" width="16.33203125" style="194" customWidth="1"/>
    <col min="11053" max="11053" width="18.109375" style="194" customWidth="1"/>
    <col min="11054" max="11054" width="14.109375" style="194" customWidth="1"/>
    <col min="11055" max="11281" width="0" style="194" hidden="1"/>
    <col min="11282" max="11282" width="7.5546875" style="194" customWidth="1"/>
    <col min="11283" max="11283" width="36.77734375" style="194" customWidth="1"/>
    <col min="11284" max="11285" width="0" style="194" hidden="1"/>
    <col min="11286" max="11286" width="16.6640625" style="194" customWidth="1"/>
    <col min="11287" max="11287" width="17.33203125" style="194" customWidth="1"/>
    <col min="11288" max="11288" width="15.5546875" style="194" customWidth="1"/>
    <col min="11289" max="11289" width="0" style="194" hidden="1"/>
    <col min="11290" max="11290" width="16.6640625" style="194" customWidth="1"/>
    <col min="11291" max="11291" width="17.44140625" style="194" customWidth="1"/>
    <col min="11292" max="11293" width="0" style="194" hidden="1"/>
    <col min="11294" max="11296" width="15.33203125" style="194" customWidth="1"/>
    <col min="11297" max="11297" width="17" style="194" customWidth="1"/>
    <col min="11298" max="11298" width="0" style="194" hidden="1"/>
    <col min="11299" max="11300" width="15.5546875" style="194" customWidth="1"/>
    <col min="11301" max="11301" width="13.6640625" style="194" customWidth="1"/>
    <col min="11302" max="11302" width="9" style="194" customWidth="1"/>
    <col min="11303" max="11303" width="49.88671875" style="194" customWidth="1"/>
    <col min="11304" max="11304" width="0" style="194" hidden="1"/>
    <col min="11305" max="11306" width="15.88671875" style="194" customWidth="1"/>
    <col min="11307" max="11307" width="14.5546875" style="194" customWidth="1"/>
    <col min="11308" max="11308" width="16.33203125" style="194" customWidth="1"/>
    <col min="11309" max="11309" width="18.109375" style="194" customWidth="1"/>
    <col min="11310" max="11310" width="14.109375" style="194" customWidth="1"/>
    <col min="11311" max="11537" width="0" style="194" hidden="1"/>
    <col min="11538" max="11538" width="7.5546875" style="194" customWidth="1"/>
    <col min="11539" max="11539" width="36.77734375" style="194" customWidth="1"/>
    <col min="11540" max="11541" width="0" style="194" hidden="1"/>
    <col min="11542" max="11542" width="16.6640625" style="194" customWidth="1"/>
    <col min="11543" max="11543" width="17.33203125" style="194" customWidth="1"/>
    <col min="11544" max="11544" width="15.5546875" style="194" customWidth="1"/>
    <col min="11545" max="11545" width="0" style="194" hidden="1"/>
    <col min="11546" max="11546" width="16.6640625" style="194" customWidth="1"/>
    <col min="11547" max="11547" width="17.44140625" style="194" customWidth="1"/>
    <col min="11548" max="11549" width="0" style="194" hidden="1"/>
    <col min="11550" max="11552" width="15.33203125" style="194" customWidth="1"/>
    <col min="11553" max="11553" width="17" style="194" customWidth="1"/>
    <col min="11554" max="11554" width="0" style="194" hidden="1"/>
    <col min="11555" max="11556" width="15.5546875" style="194" customWidth="1"/>
    <col min="11557" max="11557" width="13.6640625" style="194" customWidth="1"/>
    <col min="11558" max="11558" width="9" style="194" customWidth="1"/>
    <col min="11559" max="11559" width="49.88671875" style="194" customWidth="1"/>
    <col min="11560" max="11560" width="0" style="194" hidden="1"/>
    <col min="11561" max="11562" width="15.88671875" style="194" customWidth="1"/>
    <col min="11563" max="11563" width="14.5546875" style="194" customWidth="1"/>
    <col min="11564" max="11564" width="16.33203125" style="194" customWidth="1"/>
    <col min="11565" max="11565" width="18.109375" style="194" customWidth="1"/>
    <col min="11566" max="11566" width="14.109375" style="194" customWidth="1"/>
    <col min="11567" max="11793" width="0" style="194" hidden="1"/>
    <col min="11794" max="11794" width="7.5546875" style="194" customWidth="1"/>
    <col min="11795" max="11795" width="36.77734375" style="194" customWidth="1"/>
    <col min="11796" max="11797" width="0" style="194" hidden="1"/>
    <col min="11798" max="11798" width="16.6640625" style="194" customWidth="1"/>
    <col min="11799" max="11799" width="17.33203125" style="194" customWidth="1"/>
    <col min="11800" max="11800" width="15.5546875" style="194" customWidth="1"/>
    <col min="11801" max="11801" width="0" style="194" hidden="1"/>
    <col min="11802" max="11802" width="16.6640625" style="194" customWidth="1"/>
    <col min="11803" max="11803" width="17.44140625" style="194" customWidth="1"/>
    <col min="11804" max="11805" width="0" style="194" hidden="1"/>
    <col min="11806" max="11808" width="15.33203125" style="194" customWidth="1"/>
    <col min="11809" max="11809" width="17" style="194" customWidth="1"/>
    <col min="11810" max="11810" width="0" style="194" hidden="1"/>
    <col min="11811" max="11812" width="15.5546875" style="194" customWidth="1"/>
    <col min="11813" max="11813" width="13.6640625" style="194" customWidth="1"/>
    <col min="11814" max="11814" width="9" style="194" customWidth="1"/>
    <col min="11815" max="11815" width="49.88671875" style="194" customWidth="1"/>
    <col min="11816" max="11816" width="0" style="194" hidden="1"/>
    <col min="11817" max="11818" width="15.88671875" style="194" customWidth="1"/>
    <col min="11819" max="11819" width="14.5546875" style="194" customWidth="1"/>
    <col min="11820" max="11820" width="16.33203125" style="194" customWidth="1"/>
    <col min="11821" max="11821" width="18.109375" style="194" customWidth="1"/>
    <col min="11822" max="11822" width="14.109375" style="194" customWidth="1"/>
    <col min="11823" max="12049" width="0" style="194" hidden="1"/>
    <col min="12050" max="12050" width="7.5546875" style="194" customWidth="1"/>
    <col min="12051" max="12051" width="36.77734375" style="194" customWidth="1"/>
    <col min="12052" max="12053" width="0" style="194" hidden="1"/>
    <col min="12054" max="12054" width="16.6640625" style="194" customWidth="1"/>
    <col min="12055" max="12055" width="17.33203125" style="194" customWidth="1"/>
    <col min="12056" max="12056" width="15.5546875" style="194" customWidth="1"/>
    <col min="12057" max="12057" width="0" style="194" hidden="1"/>
    <col min="12058" max="12058" width="16.6640625" style="194" customWidth="1"/>
    <col min="12059" max="12059" width="17.44140625" style="194" customWidth="1"/>
    <col min="12060" max="12061" width="0" style="194" hidden="1"/>
    <col min="12062" max="12064" width="15.33203125" style="194" customWidth="1"/>
    <col min="12065" max="12065" width="17" style="194" customWidth="1"/>
    <col min="12066" max="12066" width="0" style="194" hidden="1"/>
    <col min="12067" max="12068" width="15.5546875" style="194" customWidth="1"/>
    <col min="12069" max="12069" width="13.6640625" style="194" customWidth="1"/>
    <col min="12070" max="12070" width="9" style="194" customWidth="1"/>
    <col min="12071" max="12071" width="49.88671875" style="194" customWidth="1"/>
    <col min="12072" max="12072" width="0" style="194" hidden="1"/>
    <col min="12073" max="12074" width="15.88671875" style="194" customWidth="1"/>
    <col min="12075" max="12075" width="14.5546875" style="194" customWidth="1"/>
    <col min="12076" max="12076" width="16.33203125" style="194" customWidth="1"/>
    <col min="12077" max="12077" width="18.109375" style="194" customWidth="1"/>
    <col min="12078" max="12078" width="14.109375" style="194" customWidth="1"/>
    <col min="12079" max="12305" width="0" style="194" hidden="1"/>
    <col min="12306" max="12306" width="7.5546875" style="194" customWidth="1"/>
    <col min="12307" max="12307" width="36.77734375" style="194" customWidth="1"/>
    <col min="12308" max="12309" width="0" style="194" hidden="1"/>
    <col min="12310" max="12310" width="16.6640625" style="194" customWidth="1"/>
    <col min="12311" max="12311" width="17.33203125" style="194" customWidth="1"/>
    <col min="12312" max="12312" width="15.5546875" style="194" customWidth="1"/>
    <col min="12313" max="12313" width="0" style="194" hidden="1"/>
    <col min="12314" max="12314" width="16.6640625" style="194" customWidth="1"/>
    <col min="12315" max="12315" width="17.44140625" style="194" customWidth="1"/>
    <col min="12316" max="12317" width="0" style="194" hidden="1"/>
    <col min="12318" max="12320" width="15.33203125" style="194" customWidth="1"/>
    <col min="12321" max="12321" width="17" style="194" customWidth="1"/>
    <col min="12322" max="12322" width="0" style="194" hidden="1"/>
    <col min="12323" max="12324" width="15.5546875" style="194" customWidth="1"/>
    <col min="12325" max="12325" width="13.6640625" style="194" customWidth="1"/>
    <col min="12326" max="12326" width="9" style="194" customWidth="1"/>
    <col min="12327" max="12327" width="49.88671875" style="194" customWidth="1"/>
    <col min="12328" max="12328" width="0" style="194" hidden="1"/>
    <col min="12329" max="12330" width="15.88671875" style="194" customWidth="1"/>
    <col min="12331" max="12331" width="14.5546875" style="194" customWidth="1"/>
    <col min="12332" max="12332" width="16.33203125" style="194" customWidth="1"/>
    <col min="12333" max="12333" width="18.109375" style="194" customWidth="1"/>
    <col min="12334" max="12334" width="14.109375" style="194" customWidth="1"/>
    <col min="12335" max="12561" width="0" style="194" hidden="1"/>
    <col min="12562" max="12562" width="7.5546875" style="194" customWidth="1"/>
    <col min="12563" max="12563" width="36.77734375" style="194" customWidth="1"/>
    <col min="12564" max="12565" width="0" style="194" hidden="1"/>
    <col min="12566" max="12566" width="16.6640625" style="194" customWidth="1"/>
    <col min="12567" max="12567" width="17.33203125" style="194" customWidth="1"/>
    <col min="12568" max="12568" width="15.5546875" style="194" customWidth="1"/>
    <col min="12569" max="12569" width="0" style="194" hidden="1"/>
    <col min="12570" max="12570" width="16.6640625" style="194" customWidth="1"/>
    <col min="12571" max="12571" width="17.44140625" style="194" customWidth="1"/>
    <col min="12572" max="12573" width="0" style="194" hidden="1"/>
    <col min="12574" max="12576" width="15.33203125" style="194" customWidth="1"/>
    <col min="12577" max="12577" width="17" style="194" customWidth="1"/>
    <col min="12578" max="12578" width="0" style="194" hidden="1"/>
    <col min="12579" max="12580" width="15.5546875" style="194" customWidth="1"/>
    <col min="12581" max="12581" width="13.6640625" style="194" customWidth="1"/>
    <col min="12582" max="12582" width="9" style="194" customWidth="1"/>
    <col min="12583" max="12583" width="49.88671875" style="194" customWidth="1"/>
    <col min="12584" max="12584" width="0" style="194" hidden="1"/>
    <col min="12585" max="12586" width="15.88671875" style="194" customWidth="1"/>
    <col min="12587" max="12587" width="14.5546875" style="194" customWidth="1"/>
    <col min="12588" max="12588" width="16.33203125" style="194" customWidth="1"/>
    <col min="12589" max="12589" width="18.109375" style="194" customWidth="1"/>
    <col min="12590" max="12590" width="14.109375" style="194" customWidth="1"/>
    <col min="12591" max="12817" width="0" style="194" hidden="1"/>
    <col min="12818" max="12818" width="7.5546875" style="194" customWidth="1"/>
    <col min="12819" max="12819" width="36.77734375" style="194" customWidth="1"/>
    <col min="12820" max="12821" width="0" style="194" hidden="1"/>
    <col min="12822" max="12822" width="16.6640625" style="194" customWidth="1"/>
    <col min="12823" max="12823" width="17.33203125" style="194" customWidth="1"/>
    <col min="12824" max="12824" width="15.5546875" style="194" customWidth="1"/>
    <col min="12825" max="12825" width="0" style="194" hidden="1"/>
    <col min="12826" max="12826" width="16.6640625" style="194" customWidth="1"/>
    <col min="12827" max="12827" width="17.44140625" style="194" customWidth="1"/>
    <col min="12828" max="12829" width="0" style="194" hidden="1"/>
    <col min="12830" max="12832" width="15.33203125" style="194" customWidth="1"/>
    <col min="12833" max="12833" width="17" style="194" customWidth="1"/>
    <col min="12834" max="12834" width="0" style="194" hidden="1"/>
    <col min="12835" max="12836" width="15.5546875" style="194" customWidth="1"/>
    <col min="12837" max="12837" width="13.6640625" style="194" customWidth="1"/>
    <col min="12838" max="12838" width="9" style="194" customWidth="1"/>
    <col min="12839" max="12839" width="49.88671875" style="194" customWidth="1"/>
    <col min="12840" max="12840" width="0" style="194" hidden="1"/>
    <col min="12841" max="12842" width="15.88671875" style="194" customWidth="1"/>
    <col min="12843" max="12843" width="14.5546875" style="194" customWidth="1"/>
    <col min="12844" max="12844" width="16.33203125" style="194" customWidth="1"/>
    <col min="12845" max="12845" width="18.109375" style="194" customWidth="1"/>
    <col min="12846" max="12846" width="14.109375" style="194" customWidth="1"/>
    <col min="12847" max="13073" width="0" style="194" hidden="1"/>
    <col min="13074" max="13074" width="7.5546875" style="194" customWidth="1"/>
    <col min="13075" max="13075" width="36.77734375" style="194" customWidth="1"/>
    <col min="13076" max="13077" width="0" style="194" hidden="1"/>
    <col min="13078" max="13078" width="16.6640625" style="194" customWidth="1"/>
    <col min="13079" max="13079" width="17.33203125" style="194" customWidth="1"/>
    <col min="13080" max="13080" width="15.5546875" style="194" customWidth="1"/>
    <col min="13081" max="13081" width="0" style="194" hidden="1"/>
    <col min="13082" max="13082" width="16.6640625" style="194" customWidth="1"/>
    <col min="13083" max="13083" width="17.44140625" style="194" customWidth="1"/>
    <col min="13084" max="13085" width="0" style="194" hidden="1"/>
    <col min="13086" max="13088" width="15.33203125" style="194" customWidth="1"/>
    <col min="13089" max="13089" width="17" style="194" customWidth="1"/>
    <col min="13090" max="13090" width="0" style="194" hidden="1"/>
    <col min="13091" max="13092" width="15.5546875" style="194" customWidth="1"/>
    <col min="13093" max="13093" width="13.6640625" style="194" customWidth="1"/>
    <col min="13094" max="13094" width="9" style="194" customWidth="1"/>
    <col min="13095" max="13095" width="49.88671875" style="194" customWidth="1"/>
    <col min="13096" max="13096" width="0" style="194" hidden="1"/>
    <col min="13097" max="13098" width="15.88671875" style="194" customWidth="1"/>
    <col min="13099" max="13099" width="14.5546875" style="194" customWidth="1"/>
    <col min="13100" max="13100" width="16.33203125" style="194" customWidth="1"/>
    <col min="13101" max="13101" width="18.109375" style="194" customWidth="1"/>
    <col min="13102" max="13102" width="14.109375" style="194" customWidth="1"/>
    <col min="13103" max="13329" width="0" style="194" hidden="1"/>
    <col min="13330" max="13330" width="7.5546875" style="194" customWidth="1"/>
    <col min="13331" max="13331" width="36.77734375" style="194" customWidth="1"/>
    <col min="13332" max="13333" width="0" style="194" hidden="1"/>
    <col min="13334" max="13334" width="16.6640625" style="194" customWidth="1"/>
    <col min="13335" max="13335" width="17.33203125" style="194" customWidth="1"/>
    <col min="13336" max="13336" width="15.5546875" style="194" customWidth="1"/>
    <col min="13337" max="13337" width="0" style="194" hidden="1"/>
    <col min="13338" max="13338" width="16.6640625" style="194" customWidth="1"/>
    <col min="13339" max="13339" width="17.44140625" style="194" customWidth="1"/>
    <col min="13340" max="13341" width="0" style="194" hidden="1"/>
    <col min="13342" max="13344" width="15.33203125" style="194" customWidth="1"/>
    <col min="13345" max="13345" width="17" style="194" customWidth="1"/>
    <col min="13346" max="13346" width="0" style="194" hidden="1"/>
    <col min="13347" max="13348" width="15.5546875" style="194" customWidth="1"/>
    <col min="13349" max="13349" width="13.6640625" style="194" customWidth="1"/>
    <col min="13350" max="13350" width="9" style="194" customWidth="1"/>
    <col min="13351" max="13351" width="49.88671875" style="194" customWidth="1"/>
    <col min="13352" max="13352" width="0" style="194" hidden="1"/>
    <col min="13353" max="13354" width="15.88671875" style="194" customWidth="1"/>
    <col min="13355" max="13355" width="14.5546875" style="194" customWidth="1"/>
    <col min="13356" max="13356" width="16.33203125" style="194" customWidth="1"/>
    <col min="13357" max="13357" width="18.109375" style="194" customWidth="1"/>
    <col min="13358" max="13358" width="14.109375" style="194" customWidth="1"/>
    <col min="13359" max="13585" width="0" style="194" hidden="1"/>
    <col min="13586" max="13586" width="7.5546875" style="194" customWidth="1"/>
    <col min="13587" max="13587" width="36.77734375" style="194" customWidth="1"/>
    <col min="13588" max="13589" width="0" style="194" hidden="1"/>
    <col min="13590" max="13590" width="16.6640625" style="194" customWidth="1"/>
    <col min="13591" max="13591" width="17.33203125" style="194" customWidth="1"/>
    <col min="13592" max="13592" width="15.5546875" style="194" customWidth="1"/>
    <col min="13593" max="13593" width="0" style="194" hidden="1"/>
    <col min="13594" max="13594" width="16.6640625" style="194" customWidth="1"/>
    <col min="13595" max="13595" width="17.44140625" style="194" customWidth="1"/>
    <col min="13596" max="13597" width="0" style="194" hidden="1"/>
    <col min="13598" max="13600" width="15.33203125" style="194" customWidth="1"/>
    <col min="13601" max="13601" width="17" style="194" customWidth="1"/>
    <col min="13602" max="13602" width="0" style="194" hidden="1"/>
    <col min="13603" max="13604" width="15.5546875" style="194" customWidth="1"/>
    <col min="13605" max="13605" width="13.6640625" style="194" customWidth="1"/>
    <col min="13606" max="13606" width="9" style="194" customWidth="1"/>
    <col min="13607" max="13607" width="49.88671875" style="194" customWidth="1"/>
    <col min="13608" max="13608" width="0" style="194" hidden="1"/>
    <col min="13609" max="13610" width="15.88671875" style="194" customWidth="1"/>
    <col min="13611" max="13611" width="14.5546875" style="194" customWidth="1"/>
    <col min="13612" max="13612" width="16.33203125" style="194" customWidth="1"/>
    <col min="13613" max="13613" width="18.109375" style="194" customWidth="1"/>
    <col min="13614" max="13614" width="14.109375" style="194" customWidth="1"/>
    <col min="13615" max="13841" width="0" style="194" hidden="1"/>
    <col min="13842" max="13842" width="7.5546875" style="194" customWidth="1"/>
    <col min="13843" max="13843" width="36.77734375" style="194" customWidth="1"/>
    <col min="13844" max="13845" width="0" style="194" hidden="1"/>
    <col min="13846" max="13846" width="16.6640625" style="194" customWidth="1"/>
    <col min="13847" max="13847" width="17.33203125" style="194" customWidth="1"/>
    <col min="13848" max="13848" width="15.5546875" style="194" customWidth="1"/>
    <col min="13849" max="13849" width="0" style="194" hidden="1"/>
    <col min="13850" max="13850" width="16.6640625" style="194" customWidth="1"/>
    <col min="13851" max="13851" width="17.44140625" style="194" customWidth="1"/>
    <col min="13852" max="13853" width="0" style="194" hidden="1"/>
    <col min="13854" max="13856" width="15.33203125" style="194" customWidth="1"/>
    <col min="13857" max="13857" width="17" style="194" customWidth="1"/>
    <col min="13858" max="13858" width="0" style="194" hidden="1"/>
    <col min="13859" max="13860" width="15.5546875" style="194" customWidth="1"/>
    <col min="13861" max="13861" width="13.6640625" style="194" customWidth="1"/>
    <col min="13862" max="13862" width="9" style="194" customWidth="1"/>
    <col min="13863" max="13863" width="49.88671875" style="194" customWidth="1"/>
    <col min="13864" max="13864" width="0" style="194" hidden="1"/>
    <col min="13865" max="13866" width="15.88671875" style="194" customWidth="1"/>
    <col min="13867" max="13867" width="14.5546875" style="194" customWidth="1"/>
    <col min="13868" max="13868" width="16.33203125" style="194" customWidth="1"/>
    <col min="13869" max="13869" width="18.109375" style="194" customWidth="1"/>
    <col min="13870" max="13870" width="14.109375" style="194" customWidth="1"/>
    <col min="13871" max="14097" width="0" style="194" hidden="1"/>
    <col min="14098" max="14098" width="7.5546875" style="194" customWidth="1"/>
    <col min="14099" max="14099" width="36.77734375" style="194" customWidth="1"/>
    <col min="14100" max="14101" width="0" style="194" hidden="1"/>
    <col min="14102" max="14102" width="16.6640625" style="194" customWidth="1"/>
    <col min="14103" max="14103" width="17.33203125" style="194" customWidth="1"/>
    <col min="14104" max="14104" width="15.5546875" style="194" customWidth="1"/>
    <col min="14105" max="14105" width="0" style="194" hidden="1"/>
    <col min="14106" max="14106" width="16.6640625" style="194" customWidth="1"/>
    <col min="14107" max="14107" width="17.44140625" style="194" customWidth="1"/>
    <col min="14108" max="14109" width="0" style="194" hidden="1"/>
    <col min="14110" max="14112" width="15.33203125" style="194" customWidth="1"/>
    <col min="14113" max="14113" width="17" style="194" customWidth="1"/>
    <col min="14114" max="14114" width="0" style="194" hidden="1"/>
    <col min="14115" max="14116" width="15.5546875" style="194" customWidth="1"/>
    <col min="14117" max="14117" width="13.6640625" style="194" customWidth="1"/>
    <col min="14118" max="14118" width="9" style="194" customWidth="1"/>
    <col min="14119" max="14119" width="49.88671875" style="194" customWidth="1"/>
    <col min="14120" max="14120" width="0" style="194" hidden="1"/>
    <col min="14121" max="14122" width="15.88671875" style="194" customWidth="1"/>
    <col min="14123" max="14123" width="14.5546875" style="194" customWidth="1"/>
    <col min="14124" max="14124" width="16.33203125" style="194" customWidth="1"/>
    <col min="14125" max="14125" width="18.109375" style="194" customWidth="1"/>
    <col min="14126" max="14126" width="14.109375" style="194" customWidth="1"/>
    <col min="14127" max="14353" width="0" style="194" hidden="1"/>
    <col min="14354" max="14354" width="7.5546875" style="194" customWidth="1"/>
    <col min="14355" max="14355" width="36.77734375" style="194" customWidth="1"/>
    <col min="14356" max="14357" width="0" style="194" hidden="1"/>
    <col min="14358" max="14358" width="16.6640625" style="194" customWidth="1"/>
    <col min="14359" max="14359" width="17.33203125" style="194" customWidth="1"/>
    <col min="14360" max="14360" width="15.5546875" style="194" customWidth="1"/>
    <col min="14361" max="14361" width="0" style="194" hidden="1"/>
    <col min="14362" max="14362" width="16.6640625" style="194" customWidth="1"/>
    <col min="14363" max="14363" width="17.44140625" style="194" customWidth="1"/>
    <col min="14364" max="14365" width="0" style="194" hidden="1"/>
    <col min="14366" max="14368" width="15.33203125" style="194" customWidth="1"/>
    <col min="14369" max="14369" width="17" style="194" customWidth="1"/>
    <col min="14370" max="14370" width="0" style="194" hidden="1"/>
    <col min="14371" max="14372" width="15.5546875" style="194" customWidth="1"/>
    <col min="14373" max="14373" width="13.6640625" style="194" customWidth="1"/>
    <col min="14374" max="14374" width="9" style="194" customWidth="1"/>
    <col min="14375" max="14375" width="49.88671875" style="194" customWidth="1"/>
    <col min="14376" max="14376" width="0" style="194" hidden="1"/>
    <col min="14377" max="14378" width="15.88671875" style="194" customWidth="1"/>
    <col min="14379" max="14379" width="14.5546875" style="194" customWidth="1"/>
    <col min="14380" max="14380" width="16.33203125" style="194" customWidth="1"/>
    <col min="14381" max="14381" width="18.109375" style="194" customWidth="1"/>
    <col min="14382" max="14382" width="14.109375" style="194" customWidth="1"/>
    <col min="14383" max="14609" width="0" style="194" hidden="1"/>
    <col min="14610" max="14610" width="7.5546875" style="194" customWidth="1"/>
    <col min="14611" max="14611" width="36.77734375" style="194" customWidth="1"/>
    <col min="14612" max="14613" width="0" style="194" hidden="1"/>
    <col min="14614" max="14614" width="16.6640625" style="194" customWidth="1"/>
    <col min="14615" max="14615" width="17.33203125" style="194" customWidth="1"/>
    <col min="14616" max="14616" width="15.5546875" style="194" customWidth="1"/>
    <col min="14617" max="14617" width="0" style="194" hidden="1"/>
    <col min="14618" max="14618" width="16.6640625" style="194" customWidth="1"/>
    <col min="14619" max="14619" width="17.44140625" style="194" customWidth="1"/>
    <col min="14620" max="14621" width="0" style="194" hidden="1"/>
    <col min="14622" max="14624" width="15.33203125" style="194" customWidth="1"/>
    <col min="14625" max="14625" width="17" style="194" customWidth="1"/>
    <col min="14626" max="14626" width="0" style="194" hidden="1"/>
    <col min="14627" max="14628" width="15.5546875" style="194" customWidth="1"/>
    <col min="14629" max="14629" width="13.6640625" style="194" customWidth="1"/>
    <col min="14630" max="14630" width="9" style="194" customWidth="1"/>
    <col min="14631" max="14631" width="49.88671875" style="194" customWidth="1"/>
    <col min="14632" max="14632" width="0" style="194" hidden="1"/>
    <col min="14633" max="14634" width="15.88671875" style="194" customWidth="1"/>
    <col min="14635" max="14635" width="14.5546875" style="194" customWidth="1"/>
    <col min="14636" max="14636" width="16.33203125" style="194" customWidth="1"/>
    <col min="14637" max="14637" width="18.109375" style="194" customWidth="1"/>
    <col min="14638" max="14638" width="14.109375" style="194" customWidth="1"/>
    <col min="14639" max="14865" width="0" style="194" hidden="1"/>
    <col min="14866" max="14866" width="7.5546875" style="194" customWidth="1"/>
    <col min="14867" max="14867" width="36.77734375" style="194" customWidth="1"/>
    <col min="14868" max="14869" width="0" style="194" hidden="1"/>
    <col min="14870" max="14870" width="16.6640625" style="194" customWidth="1"/>
    <col min="14871" max="14871" width="17.33203125" style="194" customWidth="1"/>
    <col min="14872" max="14872" width="15.5546875" style="194" customWidth="1"/>
    <col min="14873" max="14873" width="0" style="194" hidden="1"/>
    <col min="14874" max="14874" width="16.6640625" style="194" customWidth="1"/>
    <col min="14875" max="14875" width="17.44140625" style="194" customWidth="1"/>
    <col min="14876" max="14877" width="0" style="194" hidden="1"/>
    <col min="14878" max="14880" width="15.33203125" style="194" customWidth="1"/>
    <col min="14881" max="14881" width="17" style="194" customWidth="1"/>
    <col min="14882" max="14882" width="0" style="194" hidden="1"/>
    <col min="14883" max="14884" width="15.5546875" style="194" customWidth="1"/>
    <col min="14885" max="14885" width="13.6640625" style="194" customWidth="1"/>
    <col min="14886" max="14886" width="9" style="194" customWidth="1"/>
    <col min="14887" max="14887" width="49.88671875" style="194" customWidth="1"/>
    <col min="14888" max="14888" width="0" style="194" hidden="1"/>
    <col min="14889" max="14890" width="15.88671875" style="194" customWidth="1"/>
    <col min="14891" max="14891" width="14.5546875" style="194" customWidth="1"/>
    <col min="14892" max="14892" width="16.33203125" style="194" customWidth="1"/>
    <col min="14893" max="14893" width="18.109375" style="194" customWidth="1"/>
    <col min="14894" max="14894" width="14.109375" style="194" customWidth="1"/>
    <col min="14895" max="15121" width="0" style="194" hidden="1"/>
    <col min="15122" max="15122" width="7.5546875" style="194" customWidth="1"/>
    <col min="15123" max="15123" width="36.77734375" style="194" customWidth="1"/>
    <col min="15124" max="15125" width="0" style="194" hidden="1"/>
    <col min="15126" max="15126" width="16.6640625" style="194" customWidth="1"/>
    <col min="15127" max="15127" width="17.33203125" style="194" customWidth="1"/>
    <col min="15128" max="15128" width="15.5546875" style="194" customWidth="1"/>
    <col min="15129" max="15129" width="0" style="194" hidden="1"/>
    <col min="15130" max="15130" width="16.6640625" style="194" customWidth="1"/>
    <col min="15131" max="15131" width="17.44140625" style="194" customWidth="1"/>
    <col min="15132" max="15133" width="0" style="194" hidden="1"/>
    <col min="15134" max="15136" width="15.33203125" style="194" customWidth="1"/>
    <col min="15137" max="15137" width="17" style="194" customWidth="1"/>
    <col min="15138" max="15138" width="0" style="194" hidden="1"/>
    <col min="15139" max="15140" width="15.5546875" style="194" customWidth="1"/>
    <col min="15141" max="15141" width="13.6640625" style="194" customWidth="1"/>
    <col min="15142" max="15142" width="9" style="194" customWidth="1"/>
    <col min="15143" max="15143" width="49.88671875" style="194" customWidth="1"/>
    <col min="15144" max="15144" width="0" style="194" hidden="1"/>
    <col min="15145" max="15146" width="15.88671875" style="194" customWidth="1"/>
    <col min="15147" max="15147" width="14.5546875" style="194" customWidth="1"/>
    <col min="15148" max="15148" width="16.33203125" style="194" customWidth="1"/>
    <col min="15149" max="15149" width="18.109375" style="194" customWidth="1"/>
    <col min="15150" max="15150" width="14.109375" style="194" customWidth="1"/>
    <col min="15151" max="15377" width="0" style="194" hidden="1"/>
    <col min="15378" max="15378" width="7.5546875" style="194" customWidth="1"/>
    <col min="15379" max="15379" width="36.77734375" style="194" customWidth="1"/>
    <col min="15380" max="15381" width="0" style="194" hidden="1"/>
    <col min="15382" max="15382" width="16.6640625" style="194" customWidth="1"/>
    <col min="15383" max="15383" width="17.33203125" style="194" customWidth="1"/>
    <col min="15384" max="15384" width="15.5546875" style="194" customWidth="1"/>
    <col min="15385" max="15385" width="0" style="194" hidden="1"/>
    <col min="15386" max="15386" width="16.6640625" style="194" customWidth="1"/>
    <col min="15387" max="15387" width="17.44140625" style="194" customWidth="1"/>
    <col min="15388" max="15389" width="0" style="194" hidden="1"/>
    <col min="15390" max="15392" width="15.33203125" style="194" customWidth="1"/>
    <col min="15393" max="15393" width="17" style="194" customWidth="1"/>
    <col min="15394" max="15394" width="0" style="194" hidden="1"/>
    <col min="15395" max="15396" width="15.5546875" style="194" customWidth="1"/>
    <col min="15397" max="15397" width="13.6640625" style="194" customWidth="1"/>
    <col min="15398" max="15398" width="9" style="194" customWidth="1"/>
    <col min="15399" max="15399" width="49.88671875" style="194" customWidth="1"/>
    <col min="15400" max="15400" width="0" style="194" hidden="1"/>
    <col min="15401" max="15402" width="15.88671875" style="194" customWidth="1"/>
    <col min="15403" max="15403" width="14.5546875" style="194" customWidth="1"/>
    <col min="15404" max="15404" width="16.33203125" style="194" customWidth="1"/>
    <col min="15405" max="15405" width="18.109375" style="194" customWidth="1"/>
    <col min="15406" max="15406" width="14.109375" style="194" customWidth="1"/>
    <col min="15407" max="15633" width="0" style="194" hidden="1"/>
    <col min="15634" max="15634" width="7.5546875" style="194" customWidth="1"/>
    <col min="15635" max="15635" width="36.77734375" style="194" customWidth="1"/>
    <col min="15636" max="15637" width="0" style="194" hidden="1"/>
    <col min="15638" max="15638" width="16.6640625" style="194" customWidth="1"/>
    <col min="15639" max="15639" width="17.33203125" style="194" customWidth="1"/>
    <col min="15640" max="15640" width="15.5546875" style="194" customWidth="1"/>
    <col min="15641" max="15641" width="0" style="194" hidden="1"/>
    <col min="15642" max="15642" width="16.6640625" style="194" customWidth="1"/>
    <col min="15643" max="15643" width="17.44140625" style="194" customWidth="1"/>
    <col min="15644" max="15645" width="0" style="194" hidden="1"/>
    <col min="15646" max="15648" width="15.33203125" style="194" customWidth="1"/>
    <col min="15649" max="15649" width="17" style="194" customWidth="1"/>
    <col min="15650" max="15650" width="0" style="194" hidden="1"/>
    <col min="15651" max="15652" width="15.5546875" style="194" customWidth="1"/>
    <col min="15653" max="15653" width="13.6640625" style="194" customWidth="1"/>
    <col min="15654" max="15654" width="9" style="194" customWidth="1"/>
    <col min="15655" max="15655" width="49.88671875" style="194" customWidth="1"/>
    <col min="15656" max="15656" width="0" style="194" hidden="1"/>
    <col min="15657" max="15658" width="15.88671875" style="194" customWidth="1"/>
    <col min="15659" max="15659" width="14.5546875" style="194" customWidth="1"/>
    <col min="15660" max="15660" width="16.33203125" style="194" customWidth="1"/>
    <col min="15661" max="15661" width="18.109375" style="194" customWidth="1"/>
    <col min="15662" max="15662" width="14.109375" style="194" customWidth="1"/>
    <col min="15663" max="15889" width="0" style="194" hidden="1"/>
    <col min="15890" max="15890" width="7.5546875" style="194" customWidth="1"/>
    <col min="15891" max="15891" width="36.77734375" style="194" customWidth="1"/>
    <col min="15892" max="15893" width="0" style="194" hidden="1"/>
    <col min="15894" max="15894" width="16.6640625" style="194" customWidth="1"/>
    <col min="15895" max="15895" width="17.33203125" style="194" customWidth="1"/>
    <col min="15896" max="15896" width="15.5546875" style="194" customWidth="1"/>
    <col min="15897" max="15897" width="0" style="194" hidden="1"/>
    <col min="15898" max="15898" width="16.6640625" style="194" customWidth="1"/>
    <col min="15899" max="15899" width="17.44140625" style="194" customWidth="1"/>
    <col min="15900" max="15901" width="0" style="194" hidden="1"/>
    <col min="15902" max="15904" width="15.33203125" style="194" customWidth="1"/>
    <col min="15905" max="15905" width="17" style="194" customWidth="1"/>
    <col min="15906" max="15906" width="0" style="194" hidden="1"/>
    <col min="15907" max="15908" width="15.5546875" style="194" customWidth="1"/>
    <col min="15909" max="15909" width="13.6640625" style="194" customWidth="1"/>
    <col min="15910" max="15910" width="9" style="194" customWidth="1"/>
    <col min="15911" max="15911" width="49.88671875" style="194" customWidth="1"/>
    <col min="15912" max="15912" width="0" style="194" hidden="1"/>
    <col min="15913" max="15914" width="15.88671875" style="194" customWidth="1"/>
    <col min="15915" max="15915" width="14.5546875" style="194" customWidth="1"/>
    <col min="15916" max="15916" width="16.33203125" style="194" customWidth="1"/>
    <col min="15917" max="15917" width="18.109375" style="194" customWidth="1"/>
    <col min="15918" max="15918" width="14.109375" style="194" customWidth="1"/>
    <col min="15919" max="16384" width="0" style="194" hidden="1"/>
  </cols>
  <sheetData>
    <row r="1" spans="1:23" ht="24.75" customHeight="1">
      <c r="A1" s="137" t="s">
        <v>73</v>
      </c>
      <c r="B1" s="1"/>
      <c r="C1" s="1"/>
      <c r="D1" s="1"/>
      <c r="E1" s="1"/>
      <c r="F1" s="45"/>
      <c r="G1" s="53"/>
      <c r="H1" s="45"/>
      <c r="I1" s="45"/>
      <c r="J1" s="45"/>
      <c r="K1" s="45"/>
      <c r="L1" s="1"/>
      <c r="M1" s="1"/>
      <c r="N1" s="45"/>
      <c r="O1" s="45"/>
      <c r="P1" s="45"/>
      <c r="Q1" s="45"/>
      <c r="R1" s="1"/>
      <c r="S1" s="1"/>
      <c r="T1" s="1"/>
      <c r="U1" s="2"/>
      <c r="V1" s="2"/>
      <c r="W1" s="194"/>
    </row>
    <row r="2" spans="1:23" ht="24.75" customHeight="1">
      <c r="A2" s="138" t="s">
        <v>128</v>
      </c>
      <c r="B2" s="5"/>
      <c r="C2" s="5"/>
      <c r="D2" s="5"/>
      <c r="E2" s="5"/>
      <c r="F2" s="195"/>
      <c r="G2" s="196"/>
      <c r="H2" s="195"/>
      <c r="I2" s="195"/>
      <c r="J2" s="195"/>
      <c r="K2" s="195"/>
      <c r="L2" s="5"/>
      <c r="M2" s="5"/>
      <c r="N2" s="195"/>
      <c r="O2" s="195"/>
      <c r="P2" s="195"/>
      <c r="Q2" s="195"/>
      <c r="R2" s="5"/>
      <c r="S2" s="5"/>
      <c r="T2" s="5"/>
      <c r="U2" s="197"/>
      <c r="V2" s="197"/>
      <c r="W2" s="194"/>
    </row>
    <row r="3" spans="1:23" ht="26.25" customHeight="1">
      <c r="A3" s="8" t="s">
        <v>44</v>
      </c>
      <c r="B3" s="8"/>
      <c r="C3" s="198"/>
      <c r="D3" s="198"/>
      <c r="E3" s="198"/>
      <c r="F3" s="199"/>
      <c r="G3" s="200"/>
      <c r="H3" s="199"/>
      <c r="I3" s="199"/>
      <c r="J3" s="199"/>
      <c r="K3" s="199"/>
      <c r="L3" s="201"/>
      <c r="M3" s="201"/>
      <c r="N3" s="199"/>
      <c r="O3" s="199"/>
      <c r="P3" s="199"/>
      <c r="Q3" s="199"/>
      <c r="S3" s="203"/>
      <c r="T3" s="203"/>
      <c r="V3" s="205"/>
      <c r="W3" s="194"/>
    </row>
    <row r="4" spans="1:23" ht="15" customHeight="1" thickBot="1">
      <c r="A4" s="206"/>
      <c r="B4" s="206"/>
      <c r="C4" s="198"/>
      <c r="D4" s="198"/>
      <c r="E4" s="198"/>
      <c r="F4" s="199"/>
      <c r="G4" s="200"/>
      <c r="H4" s="199"/>
      <c r="I4" s="199"/>
      <c r="J4" s="199"/>
      <c r="K4" s="199"/>
      <c r="L4" s="207">
        <v>0.05</v>
      </c>
      <c r="M4" s="207">
        <v>0.25</v>
      </c>
      <c r="N4" s="199"/>
      <c r="O4" s="199"/>
      <c r="P4" s="199"/>
      <c r="Q4" s="207">
        <v>0.25</v>
      </c>
      <c r="S4" s="203"/>
      <c r="T4" s="203"/>
      <c r="V4" s="205"/>
      <c r="W4" s="194"/>
    </row>
    <row r="5" spans="1:23" s="243" customFormat="1" ht="88.8" customHeight="1" thickBot="1">
      <c r="A5" s="233" t="s">
        <v>0</v>
      </c>
      <c r="B5" s="233" t="s">
        <v>40</v>
      </c>
      <c r="C5" s="234" t="s">
        <v>1</v>
      </c>
      <c r="D5" s="235" t="s">
        <v>6</v>
      </c>
      <c r="E5" s="236" t="s">
        <v>45</v>
      </c>
      <c r="F5" s="237" t="s">
        <v>31</v>
      </c>
      <c r="G5" s="238" t="s">
        <v>37</v>
      </c>
      <c r="H5" s="539" t="s">
        <v>109</v>
      </c>
      <c r="I5" s="540" t="s">
        <v>171</v>
      </c>
      <c r="J5" s="239" t="s">
        <v>41</v>
      </c>
      <c r="K5" s="239" t="s">
        <v>116</v>
      </c>
      <c r="L5" s="240" t="s">
        <v>117</v>
      </c>
      <c r="M5" s="240" t="s">
        <v>118</v>
      </c>
      <c r="N5" s="540" t="s">
        <v>119</v>
      </c>
      <c r="O5" s="391" t="s">
        <v>113</v>
      </c>
      <c r="P5" s="391" t="s">
        <v>114</v>
      </c>
      <c r="Q5" s="540" t="s">
        <v>115</v>
      </c>
      <c r="R5" s="241" t="s">
        <v>120</v>
      </c>
      <c r="S5" s="392" t="s">
        <v>39</v>
      </c>
      <c r="T5" s="393" t="s">
        <v>43</v>
      </c>
      <c r="U5" s="393" t="s">
        <v>7</v>
      </c>
      <c r="V5" s="242"/>
    </row>
    <row r="6" spans="1:23" s="250" customFormat="1" ht="23.4" customHeight="1">
      <c r="A6" s="244">
        <v>1</v>
      </c>
      <c r="B6" s="510">
        <v>120000068774</v>
      </c>
      <c r="C6" s="19" t="s">
        <v>146</v>
      </c>
      <c r="D6" s="32" t="s">
        <v>79</v>
      </c>
      <c r="E6" s="32" t="s">
        <v>46</v>
      </c>
      <c r="F6" s="40">
        <v>1400</v>
      </c>
      <c r="G6" s="394">
        <v>243923</v>
      </c>
      <c r="H6" s="245"/>
      <c r="I6" s="541">
        <f>Table1351452010[[#This Row],[ค่าบริการรายเดือนตาม Package]]+Table1351452010[[#This Row],[รายการเบิก
คอมขายเพิ่มเติม
(เป้าตามกำหนด)
100-200%]]</f>
        <v>1400</v>
      </c>
      <c r="J6" s="40"/>
      <c r="K6" s="246"/>
      <c r="L6" s="247">
        <f>IF(Table1351452010[[#This Row],[ค่าขายอุปกรณ์]]&gt;Table1351452010[[#This Row],[ต้นทุนค่าขายอุปกรณ์]],Table1351452010[[#This Row],[ต้นทุนค่าขายอุปกรณ์]]*$L$4,Table1351452010[[#This Row],[ค่าขายอุปกรณ์]]*$L$4)</f>
        <v>0</v>
      </c>
      <c r="M6" s="247">
        <f>IF(Table1351452010[[#This Row],[ค่าขายอุปกรณ์]]&gt;Table1351452010[[#This Row],[ต้นทุนค่าขายอุปกรณ์]],SUM(Table1351452010[[#This Row],[ค่าขายอุปกรณ์]]-Table1351452010[[#This Row],[ต้นทุนค่าขายอุปกรณ์]])*$M$4,0)</f>
        <v>0</v>
      </c>
      <c r="N6" s="541">
        <f>SUM(Table1351452010[[#This Row],[คอมฯอุปกรณ์
 5%]:[คอมฯ อุปกรณ์
25%]])</f>
        <v>0</v>
      </c>
      <c r="O6" s="49"/>
      <c r="P6" s="245"/>
      <c r="Q6" s="54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 s="546">
        <f>SUM(Table1351452010[[#This Row],[Total
รายการเบิก
คอมขาย]],Table1351452010[[#This Row],[Total
คอมฯ อุปกรณ์]])+Table1351452010[[#This Row],[Total 
คอมฯค่าติดตั้ง/ค่าเชื่อมสัญญาณ]]</f>
        <v>1400</v>
      </c>
      <c r="S6" s="130" t="s">
        <v>148</v>
      </c>
      <c r="T6" s="511" t="s">
        <v>145</v>
      </c>
      <c r="U6" s="249" t="s">
        <v>149</v>
      </c>
      <c r="V6" s="3"/>
    </row>
    <row r="7" spans="1:23" s="250" customFormat="1" ht="23.4" customHeight="1">
      <c r="A7" s="251">
        <v>5.0999999999999996</v>
      </c>
      <c r="B7" s="252"/>
      <c r="C7" s="253" t="s">
        <v>147</v>
      </c>
      <c r="D7" s="41"/>
      <c r="E7" s="41"/>
      <c r="F7" s="41"/>
      <c r="G7" s="44"/>
      <c r="H7" s="254"/>
      <c r="I7" s="542"/>
      <c r="J7" s="150"/>
      <c r="K7" s="151"/>
      <c r="L7" s="255"/>
      <c r="M7" s="256"/>
      <c r="N7" s="542"/>
      <c r="O7" s="50"/>
      <c r="P7" s="50"/>
      <c r="Q7" s="542"/>
      <c r="R7" s="547" t="s">
        <v>108</v>
      </c>
      <c r="S7" s="132"/>
      <c r="T7" s="132"/>
      <c r="U7" s="258"/>
      <c r="V7" s="133"/>
    </row>
    <row r="8" spans="1:23" s="250" customFormat="1" ht="23.4" customHeight="1" thickBot="1">
      <c r="A8" s="259">
        <v>5.2</v>
      </c>
      <c r="B8" s="260"/>
      <c r="C8" s="412"/>
      <c r="D8" s="39"/>
      <c r="E8" s="39"/>
      <c r="F8" s="41"/>
      <c r="G8" s="44"/>
      <c r="H8" s="262"/>
      <c r="I8" s="543"/>
      <c r="J8" s="41"/>
      <c r="K8" s="41"/>
      <c r="L8" s="256"/>
      <c r="M8" s="256"/>
      <c r="N8" s="543"/>
      <c r="O8" s="51"/>
      <c r="P8" s="51"/>
      <c r="Q8" s="543"/>
      <c r="R8" s="548"/>
      <c r="S8" s="134"/>
      <c r="T8" s="134"/>
      <c r="U8" s="264"/>
      <c r="V8" s="135"/>
    </row>
    <row r="9" spans="1:23" s="250" customFormat="1" ht="23.4" customHeight="1">
      <c r="A9" s="274">
        <v>2</v>
      </c>
      <c r="B9" s="512">
        <v>120000068775</v>
      </c>
      <c r="C9" s="19" t="s">
        <v>150</v>
      </c>
      <c r="D9" s="32" t="s">
        <v>79</v>
      </c>
      <c r="E9" s="32" t="s">
        <v>46</v>
      </c>
      <c r="F9" s="40">
        <v>1400</v>
      </c>
      <c r="G9" s="394">
        <v>243923</v>
      </c>
      <c r="H9" s="245"/>
      <c r="I9" s="541">
        <f>Table1351452010[[#This Row],[ค่าบริการรายเดือนตาม Package]]+Table1351452010[[#This Row],[รายการเบิก
คอมขายเพิ่มเติม
(เป้าตามกำหนด)
100-200%]]</f>
        <v>1400</v>
      </c>
      <c r="J9" s="40"/>
      <c r="K9" s="246"/>
      <c r="L9" s="266">
        <f>IF(Table1351452010[[#This Row],[ค่าขายอุปกรณ์]]&gt;Table1351452010[[#This Row],[ต้นทุนค่าขายอุปกรณ์]],Table1351452010[[#This Row],[ต้นทุนค่าขายอุปกรณ์]]*$L$4,Table1351452010[[#This Row],[ค่าขายอุปกรณ์]]*$L$4)</f>
        <v>0</v>
      </c>
      <c r="M9" s="266">
        <f>IF(Table1351452010[[#This Row],[ค่าขายอุปกรณ์]]&gt;Table1351452010[[#This Row],[ต้นทุนค่าขายอุปกรณ์]],SUM(Table1351452010[[#This Row],[ค่าขายอุปกรณ์]]-Table1351452010[[#This Row],[ต้นทุนค่าขายอุปกรณ์]])*$M$4,0)</f>
        <v>0</v>
      </c>
      <c r="N9" s="541">
        <f>SUM(Table1351452010[[#This Row],[คอมฯอุปกรณ์
 5%]:[คอมฯ อุปกรณ์
25%]])</f>
        <v>0</v>
      </c>
      <c r="O9" s="267"/>
      <c r="P9" s="267"/>
      <c r="Q9" s="54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9" s="546">
        <f>SUM(Table1351452010[[#This Row],[Total
รายการเบิก
คอมขาย]],Table1351452010[[#This Row],[Total
คอมฯ อุปกรณ์]])+Table1351452010[[#This Row],[Total 
คอมฯค่าติดตั้ง/ค่าเชื่อมสัญญาณ]]</f>
        <v>1400</v>
      </c>
      <c r="S9" s="268" t="s">
        <v>152</v>
      </c>
      <c r="T9" s="511" t="s">
        <v>145</v>
      </c>
      <c r="U9" s="249" t="s">
        <v>149</v>
      </c>
      <c r="V9" s="3"/>
    </row>
    <row r="10" spans="1:23" s="250" customFormat="1" ht="23.4" customHeight="1">
      <c r="A10" s="275">
        <v>8.1</v>
      </c>
      <c r="B10" s="252"/>
      <c r="C10" s="253" t="s">
        <v>151</v>
      </c>
      <c r="D10" s="41"/>
      <c r="E10" s="41"/>
      <c r="F10" s="41"/>
      <c r="G10" s="44"/>
      <c r="H10" s="254"/>
      <c r="I10" s="542"/>
      <c r="J10" s="150"/>
      <c r="K10" s="389"/>
      <c r="L10" s="255"/>
      <c r="M10" s="256"/>
      <c r="N10" s="542"/>
      <c r="O10" s="50"/>
      <c r="P10" s="50"/>
      <c r="Q10" s="542"/>
      <c r="R10" s="547" t="s">
        <v>108</v>
      </c>
      <c r="S10" s="271"/>
      <c r="T10" s="271"/>
      <c r="U10" s="272"/>
      <c r="V10" s="3"/>
    </row>
    <row r="11" spans="1:23" s="250" customFormat="1" ht="23.4" customHeight="1" thickBot="1">
      <c r="A11" s="276">
        <v>8.1999999999999993</v>
      </c>
      <c r="B11" s="260"/>
      <c r="C11" s="412"/>
      <c r="D11" s="39"/>
      <c r="E11" s="39"/>
      <c r="F11" s="41"/>
      <c r="G11" s="44"/>
      <c r="H11" s="262"/>
      <c r="I11" s="543"/>
      <c r="J11" s="41"/>
      <c r="K11" s="390"/>
      <c r="L11" s="256"/>
      <c r="M11" s="256"/>
      <c r="N11" s="543"/>
      <c r="O11" s="51"/>
      <c r="P11" s="51"/>
      <c r="Q11" s="543"/>
      <c r="R11" s="548"/>
      <c r="S11" s="273"/>
      <c r="T11" s="433"/>
      <c r="U11" s="264"/>
      <c r="V11" s="277"/>
    </row>
    <row r="12" spans="1:23" s="250" customFormat="1" ht="23.4" customHeight="1">
      <c r="A12" s="274">
        <v>3</v>
      </c>
      <c r="B12" s="512">
        <v>120000068826</v>
      </c>
      <c r="C12" s="19" t="s">
        <v>153</v>
      </c>
      <c r="D12" s="32" t="s">
        <v>78</v>
      </c>
      <c r="E12" s="32" t="s">
        <v>46</v>
      </c>
      <c r="F12" s="40">
        <v>2500</v>
      </c>
      <c r="G12" s="394">
        <v>243923</v>
      </c>
      <c r="H12" s="245"/>
      <c r="I12" s="541">
        <f>Table1351452010[[#This Row],[ค่าบริการรายเดือนตาม Package]]+Table1351452010[[#This Row],[รายการเบิก
คอมขายเพิ่มเติม
(เป้าตามกำหนด)
100-200%]]</f>
        <v>2500</v>
      </c>
      <c r="J12" s="40"/>
      <c r="K12" s="246"/>
      <c r="L12" s="266">
        <f>IF(Table1351452010[[#This Row],[ค่าขายอุปกรณ์]]&gt;Table1351452010[[#This Row],[ต้นทุนค่าขายอุปกรณ์]],Table1351452010[[#This Row],[ต้นทุนค่าขายอุปกรณ์]]*$L$4,Table1351452010[[#This Row],[ค่าขายอุปกรณ์]]*$L$4)</f>
        <v>0</v>
      </c>
      <c r="M12" s="266">
        <f>IF(Table1351452010[[#This Row],[ค่าขายอุปกรณ์]]&gt;Table1351452010[[#This Row],[ต้นทุนค่าขายอุปกรณ์]],SUM(Table1351452010[[#This Row],[ค่าขายอุปกรณ์]]-Table1351452010[[#This Row],[ต้นทุนค่าขายอุปกรณ์]])*$M$4,0)</f>
        <v>0</v>
      </c>
      <c r="N12" s="541">
        <f>SUM(Table1351452010[[#This Row],[คอมฯอุปกรณ์
 5%]:[คอมฯ อุปกรณ์
25%]])</f>
        <v>0</v>
      </c>
      <c r="O12" s="267"/>
      <c r="P12" s="267"/>
      <c r="Q12" s="54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2" s="546">
        <f>SUM(Table1351452010[[#This Row],[Total
รายการเบิก
คอมขาย]],Table1351452010[[#This Row],[Total
คอมฯ อุปกรณ์]])+Table1351452010[[#This Row],[Total 
คอมฯค่าติดตั้ง/ค่าเชื่อมสัญญาณ]]</f>
        <v>2500</v>
      </c>
      <c r="S12" s="268" t="s">
        <v>155</v>
      </c>
      <c r="T12" s="511" t="s">
        <v>145</v>
      </c>
      <c r="U12" s="249" t="s">
        <v>156</v>
      </c>
      <c r="V12" s="3"/>
    </row>
    <row r="13" spans="1:23" s="250" customFormat="1" ht="23.4" customHeight="1">
      <c r="A13" s="275">
        <v>8.1</v>
      </c>
      <c r="B13" s="252"/>
      <c r="C13" s="253" t="s">
        <v>154</v>
      </c>
      <c r="D13" s="41"/>
      <c r="E13" s="41"/>
      <c r="F13" s="41"/>
      <c r="G13" s="44"/>
      <c r="H13" s="254"/>
      <c r="I13" s="542"/>
      <c r="J13" s="150"/>
      <c r="K13" s="389"/>
      <c r="L13" s="255"/>
      <c r="M13" s="256"/>
      <c r="N13" s="542"/>
      <c r="O13" s="50"/>
      <c r="P13" s="50"/>
      <c r="Q13" s="542"/>
      <c r="R13" s="547" t="s">
        <v>108</v>
      </c>
      <c r="S13" s="271"/>
      <c r="T13" s="271"/>
      <c r="U13" s="272"/>
      <c r="V13" s="3"/>
    </row>
    <row r="14" spans="1:23" s="250" customFormat="1" ht="23.4" customHeight="1" thickBot="1">
      <c r="A14" s="276">
        <v>8.1999999999999993</v>
      </c>
      <c r="B14" s="260"/>
      <c r="C14" s="412"/>
      <c r="D14" s="39"/>
      <c r="E14" s="39"/>
      <c r="F14" s="41"/>
      <c r="G14" s="44"/>
      <c r="H14" s="262"/>
      <c r="I14" s="543"/>
      <c r="J14" s="41"/>
      <c r="K14" s="390"/>
      <c r="L14" s="256"/>
      <c r="M14" s="256"/>
      <c r="N14" s="543"/>
      <c r="O14" s="51"/>
      <c r="P14" s="51"/>
      <c r="Q14" s="543"/>
      <c r="R14" s="548"/>
      <c r="S14" s="273"/>
      <c r="T14" s="273"/>
      <c r="U14" s="264"/>
      <c r="V14" s="277"/>
    </row>
    <row r="15" spans="1:23" s="250" customFormat="1" ht="23.4" customHeight="1">
      <c r="A15" s="274">
        <v>4</v>
      </c>
      <c r="B15" s="512">
        <v>120000068528</v>
      </c>
      <c r="C15" s="19" t="s">
        <v>157</v>
      </c>
      <c r="D15" s="32" t="s">
        <v>83</v>
      </c>
      <c r="E15" s="32" t="s">
        <v>46</v>
      </c>
      <c r="F15" s="40">
        <v>2056.0700000000002</v>
      </c>
      <c r="G15" s="394">
        <v>243923</v>
      </c>
      <c r="H15" s="245"/>
      <c r="I15" s="541">
        <f>Table1351452010[[#This Row],[ค่าบริการรายเดือนตาม Package]]+Table1351452010[[#This Row],[รายการเบิก
คอมขายเพิ่มเติม
(เป้าตามกำหนด)
100-200%]]</f>
        <v>2056.0700000000002</v>
      </c>
      <c r="J15" s="40"/>
      <c r="K15" s="246"/>
      <c r="L15" s="266">
        <f>IF(Table1351452010[[#This Row],[ค่าขายอุปกรณ์]]&gt;Table1351452010[[#This Row],[ต้นทุนค่าขายอุปกรณ์]],Table1351452010[[#This Row],[ต้นทุนค่าขายอุปกรณ์]]*$L$4,Table1351452010[[#This Row],[ค่าขายอุปกรณ์]]*$L$4)</f>
        <v>0</v>
      </c>
      <c r="M15" s="266">
        <f>IF(Table1351452010[[#This Row],[ค่าขายอุปกรณ์]]&gt;Table1351452010[[#This Row],[ต้นทุนค่าขายอุปกรณ์]],SUM(Table1351452010[[#This Row],[ค่าขายอุปกรณ์]]-Table1351452010[[#This Row],[ต้นทุนค่าขายอุปกรณ์]])*$M$4,0)</f>
        <v>0</v>
      </c>
      <c r="N15" s="541">
        <f>SUM(Table1351452010[[#This Row],[คอมฯอุปกรณ์
 5%]:[คอมฯ อุปกรณ์
25%]])</f>
        <v>0</v>
      </c>
      <c r="O15" s="267"/>
      <c r="P15" s="267"/>
      <c r="Q15" s="54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5" s="546">
        <f>SUM(Table1351452010[[#This Row],[Total
รายการเบิก
คอมขาย]],Table1351452010[[#This Row],[Total
คอมฯ อุปกรณ์]])+Table1351452010[[#This Row],[Total 
คอมฯค่าติดตั้ง/ค่าเชื่อมสัญญาณ]]</f>
        <v>2056.0700000000002</v>
      </c>
      <c r="S15" s="268" t="s">
        <v>159</v>
      </c>
      <c r="T15" s="511" t="s">
        <v>145</v>
      </c>
      <c r="U15" s="269" t="s">
        <v>149</v>
      </c>
      <c r="V15" s="3"/>
    </row>
    <row r="16" spans="1:23" s="250" customFormat="1" ht="23.4" customHeight="1">
      <c r="A16" s="275">
        <v>8.1</v>
      </c>
      <c r="B16" s="252"/>
      <c r="C16" s="253" t="s">
        <v>158</v>
      </c>
      <c r="D16" s="41"/>
      <c r="E16" s="41"/>
      <c r="F16" s="41"/>
      <c r="G16" s="44"/>
      <c r="H16" s="254"/>
      <c r="I16" s="542"/>
      <c r="J16" s="150"/>
      <c r="K16" s="389"/>
      <c r="L16" s="255"/>
      <c r="M16" s="256"/>
      <c r="N16" s="542"/>
      <c r="O16" s="50"/>
      <c r="P16" s="50"/>
      <c r="Q16" s="542"/>
      <c r="R16" s="547" t="s">
        <v>108</v>
      </c>
      <c r="S16" s="271"/>
      <c r="T16" s="271"/>
      <c r="U16" s="272"/>
      <c r="V16" s="3"/>
    </row>
    <row r="17" spans="1:22" s="250" customFormat="1" ht="23.4" customHeight="1" thickBot="1">
      <c r="A17" s="276">
        <v>8.1999999999999993</v>
      </c>
      <c r="B17" s="260"/>
      <c r="C17" s="412"/>
      <c r="D17" s="39"/>
      <c r="E17" s="39"/>
      <c r="F17" s="41"/>
      <c r="G17" s="44"/>
      <c r="H17" s="262"/>
      <c r="I17" s="543"/>
      <c r="J17" s="41"/>
      <c r="K17" s="390"/>
      <c r="L17" s="256"/>
      <c r="M17" s="256"/>
      <c r="N17" s="543"/>
      <c r="O17" s="51"/>
      <c r="P17" s="51"/>
      <c r="Q17" s="543"/>
      <c r="R17" s="548"/>
      <c r="S17" s="273"/>
      <c r="T17" s="273"/>
      <c r="U17" s="264"/>
      <c r="V17" s="277"/>
    </row>
    <row r="18" spans="1:22" s="250" customFormat="1" ht="23.4" customHeight="1">
      <c r="A18" s="274">
        <v>5</v>
      </c>
      <c r="B18" s="512">
        <v>120000058764</v>
      </c>
      <c r="C18" s="19" t="s">
        <v>160</v>
      </c>
      <c r="D18" s="32" t="s">
        <v>78</v>
      </c>
      <c r="E18" s="32" t="s">
        <v>46</v>
      </c>
      <c r="F18" s="40"/>
      <c r="G18" s="394"/>
      <c r="H18" s="245"/>
      <c r="I18" s="541">
        <f>Table1351452010[[#This Row],[ค่าบริการรายเดือนตาม Package]]+Table1351452010[[#This Row],[รายการเบิก
คอมขายเพิ่มเติม
(เป้าตามกำหนด)
100-200%]]</f>
        <v>0</v>
      </c>
      <c r="J18" s="40"/>
      <c r="K18" s="246"/>
      <c r="L18" s="266">
        <f>IF(Table1351452010[[#This Row],[ค่าขายอุปกรณ์]]&gt;Table1351452010[[#This Row],[ต้นทุนค่าขายอุปกรณ์]],Table1351452010[[#This Row],[ต้นทุนค่าขายอุปกรณ์]]*$L$4,Table1351452010[[#This Row],[ค่าขายอุปกรณ์]]*$L$4)</f>
        <v>0</v>
      </c>
      <c r="M18" s="266">
        <f>IF(Table1351452010[[#This Row],[ค่าขายอุปกรณ์]]&gt;Table1351452010[[#This Row],[ต้นทุนค่าขายอุปกรณ์]],SUM(Table1351452010[[#This Row],[ค่าขายอุปกรณ์]]-Table1351452010[[#This Row],[ต้นทุนค่าขายอุปกรณ์]])*$M$4,0)</f>
        <v>0</v>
      </c>
      <c r="N18" s="541">
        <f>SUM(Table1351452010[[#This Row],[คอมฯอุปกรณ์
 5%]:[คอมฯ อุปกรณ์
25%]])</f>
        <v>0</v>
      </c>
      <c r="O18" s="267">
        <v>1000</v>
      </c>
      <c r="P18" s="559">
        <v>556.35</v>
      </c>
      <c r="Q18" s="54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110.91249999999999</v>
      </c>
      <c r="R18" s="546">
        <f>SUM(Table1351452010[[#This Row],[Total
รายการเบิก
คอมขาย]],Table1351452010[[#This Row],[Total
คอมฯ อุปกรณ์]])+Table1351452010[[#This Row],[Total 
คอมฯค่าติดตั้ง/ค่าเชื่อมสัญญาณ]]</f>
        <v>110.91249999999999</v>
      </c>
      <c r="S18" s="268" t="s">
        <v>161</v>
      </c>
      <c r="T18" s="511" t="s">
        <v>145</v>
      </c>
      <c r="U18" s="269" t="s">
        <v>144</v>
      </c>
      <c r="V18" s="3"/>
    </row>
    <row r="19" spans="1:22" s="250" customFormat="1" ht="23.4" customHeight="1">
      <c r="A19" s="275">
        <v>8.1</v>
      </c>
      <c r="B19" s="252"/>
      <c r="C19" s="253"/>
      <c r="D19" s="41"/>
      <c r="E19" s="41"/>
      <c r="F19" s="41"/>
      <c r="G19" s="44"/>
      <c r="H19" s="254"/>
      <c r="I19" s="542"/>
      <c r="J19" s="150"/>
      <c r="K19" s="389"/>
      <c r="L19" s="255"/>
      <c r="M19" s="256"/>
      <c r="N19" s="542"/>
      <c r="O19" s="50"/>
      <c r="P19" s="50"/>
      <c r="Q19" s="542"/>
      <c r="R19" s="547" t="s">
        <v>108</v>
      </c>
      <c r="S19" s="271"/>
      <c r="T19" s="271"/>
      <c r="U19" s="272"/>
      <c r="V19" s="3"/>
    </row>
    <row r="20" spans="1:22" s="250" customFormat="1" ht="23.4" customHeight="1" thickBot="1">
      <c r="A20" s="276">
        <v>8.1999999999999993</v>
      </c>
      <c r="B20" s="260"/>
      <c r="C20" s="412"/>
      <c r="D20" s="39"/>
      <c r="E20" s="39"/>
      <c r="F20" s="41"/>
      <c r="G20" s="44"/>
      <c r="H20" s="262"/>
      <c r="I20" s="543"/>
      <c r="J20" s="41"/>
      <c r="K20" s="390"/>
      <c r="L20" s="256"/>
      <c r="M20" s="256"/>
      <c r="N20" s="543"/>
      <c r="O20" s="51"/>
      <c r="P20" s="51"/>
      <c r="Q20" s="543"/>
      <c r="R20" s="548"/>
      <c r="S20" s="273"/>
      <c r="T20" s="273"/>
      <c r="U20" s="264"/>
      <c r="V20" s="277"/>
    </row>
    <row r="21" spans="1:22" s="250" customFormat="1" ht="23.4" customHeight="1">
      <c r="A21" s="274">
        <v>6</v>
      </c>
      <c r="B21" s="512">
        <v>120000051462</v>
      </c>
      <c r="C21" s="19" t="s">
        <v>162</v>
      </c>
      <c r="D21" s="32" t="s">
        <v>78</v>
      </c>
      <c r="E21" s="32" t="s">
        <v>46</v>
      </c>
      <c r="F21" s="40"/>
      <c r="G21" s="394"/>
      <c r="H21" s="245"/>
      <c r="I21" s="541">
        <f>Table1351452010[[#This Row],[ค่าบริการรายเดือนตาม Package]]+Table1351452010[[#This Row],[รายการเบิก
คอมขายเพิ่มเติม
(เป้าตามกำหนด)
100-200%]]</f>
        <v>0</v>
      </c>
      <c r="J21" s="40"/>
      <c r="K21" s="246"/>
      <c r="L21" s="266">
        <f>IF(Table1351452010[[#This Row],[ค่าขายอุปกรณ์]]&gt;Table1351452010[[#This Row],[ต้นทุนค่าขายอุปกรณ์]],Table1351452010[[#This Row],[ต้นทุนค่าขายอุปกรณ์]]*$L$4,Table1351452010[[#This Row],[ค่าขายอุปกรณ์]]*$L$4)</f>
        <v>0</v>
      </c>
      <c r="M21" s="266">
        <f>IF(Table1351452010[[#This Row],[ค่าขายอุปกรณ์]]&gt;Table1351452010[[#This Row],[ต้นทุนค่าขายอุปกรณ์]],SUM(Table1351452010[[#This Row],[ค่าขายอุปกรณ์]]-Table1351452010[[#This Row],[ต้นทุนค่าขายอุปกรณ์]])*$M$4,0)</f>
        <v>0</v>
      </c>
      <c r="N21" s="541">
        <f>SUM(Table1351452010[[#This Row],[คอมฯอุปกรณ์
 5%]:[คอมฯ อุปกรณ์
25%]])</f>
        <v>0</v>
      </c>
      <c r="O21" s="267">
        <v>3000</v>
      </c>
      <c r="P21" s="559">
        <v>2552.29</v>
      </c>
      <c r="Q21" s="54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111.92750000000001</v>
      </c>
      <c r="R21" s="546">
        <f>SUM(Table1351452010[[#This Row],[Total
รายการเบิก
คอมขาย]],Table1351452010[[#This Row],[Total
คอมฯ อุปกรณ์]])+Table1351452010[[#This Row],[Total 
คอมฯค่าติดตั้ง/ค่าเชื่อมสัญญาณ]]</f>
        <v>111.92750000000001</v>
      </c>
      <c r="S21" s="268" t="s">
        <v>164</v>
      </c>
      <c r="T21" s="511" t="s">
        <v>145</v>
      </c>
      <c r="U21" s="269" t="s">
        <v>165</v>
      </c>
      <c r="V21" s="3"/>
    </row>
    <row r="22" spans="1:22" s="250" customFormat="1" ht="23.4" customHeight="1">
      <c r="A22" s="275">
        <v>8.1</v>
      </c>
      <c r="B22" s="252"/>
      <c r="C22" s="253" t="s">
        <v>163</v>
      </c>
      <c r="D22" s="41"/>
      <c r="E22" s="41"/>
      <c r="F22" s="41"/>
      <c r="G22" s="44"/>
      <c r="H22" s="254"/>
      <c r="I22" s="542"/>
      <c r="J22" s="150"/>
      <c r="K22" s="389"/>
      <c r="L22" s="255"/>
      <c r="M22" s="256"/>
      <c r="N22" s="542"/>
      <c r="O22" s="50"/>
      <c r="P22" s="50"/>
      <c r="Q22" s="542"/>
      <c r="R22" s="547" t="s">
        <v>108</v>
      </c>
      <c r="S22" s="271"/>
      <c r="T22" s="271"/>
      <c r="U22" s="272"/>
      <c r="V22" s="3"/>
    </row>
    <row r="23" spans="1:22" s="250" customFormat="1" ht="23.4" customHeight="1" thickBot="1">
      <c r="A23" s="276">
        <v>8.1999999999999993</v>
      </c>
      <c r="B23" s="260"/>
      <c r="C23" s="412"/>
      <c r="D23" s="39"/>
      <c r="E23" s="39"/>
      <c r="F23" s="41"/>
      <c r="G23" s="44"/>
      <c r="H23" s="262"/>
      <c r="I23" s="543"/>
      <c r="J23" s="41"/>
      <c r="K23" s="390"/>
      <c r="L23" s="256"/>
      <c r="M23" s="256"/>
      <c r="N23" s="543"/>
      <c r="O23" s="51"/>
      <c r="P23" s="51"/>
      <c r="Q23" s="543"/>
      <c r="R23" s="548"/>
      <c r="S23" s="273"/>
      <c r="T23" s="273"/>
      <c r="U23" s="264"/>
      <c r="V23" s="277"/>
    </row>
    <row r="24" spans="1:22" s="3" customFormat="1" ht="27.45" customHeight="1">
      <c r="A24" s="274">
        <v>7</v>
      </c>
      <c r="B24" s="512">
        <v>120000068828</v>
      </c>
      <c r="C24" s="19" t="s">
        <v>166</v>
      </c>
      <c r="D24" s="32" t="s">
        <v>168</v>
      </c>
      <c r="E24" s="32" t="s">
        <v>46</v>
      </c>
      <c r="F24" s="278">
        <v>4000</v>
      </c>
      <c r="G24" s="394">
        <v>243892</v>
      </c>
      <c r="H24" s="245"/>
      <c r="I24" s="541">
        <f>Table1351452010[[#This Row],[ค่าบริการรายเดือนตาม Package]]+Table1351452010[[#This Row],[รายการเบิก
คอมขายเพิ่มเติม
(เป้าตามกำหนด)
100-200%]]</f>
        <v>4000</v>
      </c>
      <c r="J24" s="40"/>
      <c r="K24" s="278"/>
      <c r="L24" s="279">
        <f>IF(Table1351452010[[#This Row],[ค่าขายอุปกรณ์]]&gt;Table1351452010[[#This Row],[ต้นทุนค่าขายอุปกรณ์]],Table1351452010[[#This Row],[ต้นทุนค่าขายอุปกรณ์]]*$L$4,Table1351452010[[#This Row],[ค่าขายอุปกรณ์]]*$L$4)</f>
        <v>0</v>
      </c>
      <c r="M24" s="280">
        <f>IF(Table1351452010[[#This Row],[ค่าขายอุปกรณ์]]&gt;Table1351452010[[#This Row],[ต้นทุนค่าขายอุปกรณ์]],SUM(Table1351452010[[#This Row],[ค่าขายอุปกรณ์]]-Table1351452010[[#This Row],[ต้นทุนค่าขายอุปกรณ์]])*$M$4,0)</f>
        <v>0</v>
      </c>
      <c r="N24" s="541">
        <f>SUM(Table1351452010[[#This Row],[คอมฯอุปกรณ์
 5%]:[คอมฯ อุปกรณ์
25%]])</f>
        <v>0</v>
      </c>
      <c r="O24" s="267"/>
      <c r="P24" s="267"/>
      <c r="Q24"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4" s="546">
        <f>SUM(Table1351452010[[#This Row],[Total
รายการเบิก
คอมขาย]],Table1351452010[[#This Row],[Total
คอมฯ อุปกรณ์]])+Table1351452010[[#This Row],[Total 
คอมฯค่าติดตั้ง/ค่าเชื่อมสัญญาณ]]</f>
        <v>4000</v>
      </c>
      <c r="S24" s="268" t="s">
        <v>169</v>
      </c>
      <c r="T24" s="511" t="s">
        <v>145</v>
      </c>
      <c r="U24" s="269" t="s">
        <v>170</v>
      </c>
    </row>
    <row r="25" spans="1:22" s="250" customFormat="1" ht="27" customHeight="1">
      <c r="A25" s="275">
        <v>8.1</v>
      </c>
      <c r="B25" s="281"/>
      <c r="C25" s="270" t="s">
        <v>167</v>
      </c>
      <c r="D25" s="282"/>
      <c r="E25" s="41"/>
      <c r="F25" s="41"/>
      <c r="G25" s="44"/>
      <c r="H25" s="254"/>
      <c r="I25" s="542"/>
      <c r="J25" s="150"/>
      <c r="K25" s="389"/>
      <c r="L25" s="255"/>
      <c r="M25" s="256"/>
      <c r="N25" s="542"/>
      <c r="O25" s="50"/>
      <c r="P25" s="50"/>
      <c r="Q25" s="542"/>
      <c r="R25" s="547" t="s">
        <v>108</v>
      </c>
      <c r="S25" s="132"/>
      <c r="T25" s="271"/>
      <c r="U25" s="272"/>
      <c r="V25" s="3"/>
    </row>
    <row r="26" spans="1:22" s="250" customFormat="1" ht="27" customHeight="1" thickBot="1">
      <c r="A26" s="276">
        <v>8.1999999999999993</v>
      </c>
      <c r="B26" s="283"/>
      <c r="C26" s="261"/>
      <c r="D26" s="285"/>
      <c r="E26" s="39"/>
      <c r="F26" s="41"/>
      <c r="G26" s="44"/>
      <c r="H26" s="262"/>
      <c r="I26" s="543"/>
      <c r="J26" s="41"/>
      <c r="K26" s="390"/>
      <c r="L26" s="256"/>
      <c r="M26" s="256"/>
      <c r="N26" s="543"/>
      <c r="O26" s="51"/>
      <c r="P26" s="51"/>
      <c r="Q26" s="543"/>
      <c r="R26" s="548"/>
      <c r="S26" s="132"/>
      <c r="T26" s="271"/>
      <c r="U26" s="264"/>
      <c r="V26" s="3"/>
    </row>
    <row r="27" spans="1:22" s="3" customFormat="1" ht="27.45" hidden="1" customHeight="1">
      <c r="A27" s="274">
        <v>5</v>
      </c>
      <c r="B27" s="265"/>
      <c r="C27" s="19"/>
      <c r="D27" s="32"/>
      <c r="E27" s="32"/>
      <c r="F27" s="278"/>
      <c r="G27" s="394"/>
      <c r="H27" s="245"/>
      <c r="I27" s="541">
        <f>Table1351452010[[#This Row],[ค่าบริการรายเดือนตาม Package]]+Table1351452010[[#This Row],[รายการเบิก
คอมขายเพิ่มเติม
(เป้าตามกำหนด)
100-200%]]</f>
        <v>0</v>
      </c>
      <c r="J27" s="40"/>
      <c r="K27" s="278"/>
      <c r="L27" s="279">
        <f>IF(Table1351452010[[#This Row],[ค่าขายอุปกรณ์]]&gt;Table1351452010[[#This Row],[ต้นทุนค่าขายอุปกรณ์]],Table1351452010[[#This Row],[ต้นทุนค่าขายอุปกรณ์]]*$L$4,Table1351452010[[#This Row],[ค่าขายอุปกรณ์]]*$L$4)</f>
        <v>0</v>
      </c>
      <c r="M27" s="280">
        <f>IF(Table1351452010[[#This Row],[ค่าขายอุปกรณ์]]&gt;Table1351452010[[#This Row],[ต้นทุนค่าขายอุปกรณ์]],SUM(Table1351452010[[#This Row],[ค่าขายอุปกรณ์]]-Table1351452010[[#This Row],[ต้นทุนค่าขายอุปกรณ์]])*$M$4,0)</f>
        <v>0</v>
      </c>
      <c r="N27" s="541">
        <f>SUM(Table1351452010[[#This Row],[คอมฯอุปกรณ์
 5%]:[คอมฯ อุปกรณ์
25%]])</f>
        <v>0</v>
      </c>
      <c r="O27" s="267"/>
      <c r="P27" s="267"/>
      <c r="Q27"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7" s="248">
        <f>SUM(Table1351452010[[#This Row],[Total
รายการเบิก
คอมขาย]],Table1351452010[[#This Row],[Total
คอมฯ อุปกรณ์]])+Table1351452010[[#This Row],[Total 
คอมฯค่าติดตั้ง/ค่าเชื่อมสัญญาณ]]</f>
        <v>0</v>
      </c>
      <c r="S27" s="268"/>
      <c r="T27" s="268"/>
      <c r="U27" s="269"/>
    </row>
    <row r="28" spans="1:22" s="250" customFormat="1" ht="27" hidden="1" customHeight="1">
      <c r="A28" s="275">
        <v>8.1</v>
      </c>
      <c r="B28" s="286"/>
      <c r="C28" s="20"/>
      <c r="D28" s="282"/>
      <c r="E28" s="41"/>
      <c r="F28" s="41"/>
      <c r="G28" s="287"/>
      <c r="H28" s="254"/>
      <c r="I28" s="542"/>
      <c r="J28" s="150"/>
      <c r="K28" s="389"/>
      <c r="L28" s="255"/>
      <c r="M28" s="256"/>
      <c r="N28" s="542"/>
      <c r="O28" s="50"/>
      <c r="P28" s="50"/>
      <c r="Q28" s="542"/>
      <c r="R28" s="257" t="s">
        <v>108</v>
      </c>
      <c r="S28" s="132"/>
      <c r="T28" s="271"/>
      <c r="U28" s="272"/>
      <c r="V28" s="3"/>
    </row>
    <row r="29" spans="1:22" s="250" customFormat="1" ht="27" hidden="1" customHeight="1" thickBot="1">
      <c r="A29" s="276">
        <v>8.1999999999999993</v>
      </c>
      <c r="B29" s="283"/>
      <c r="C29" s="284"/>
      <c r="D29" s="285"/>
      <c r="E29" s="39"/>
      <c r="F29" s="41"/>
      <c r="G29" s="44"/>
      <c r="H29" s="262"/>
      <c r="I29" s="543"/>
      <c r="J29" s="41"/>
      <c r="K29" s="390"/>
      <c r="L29" s="256"/>
      <c r="M29" s="256"/>
      <c r="N29" s="543"/>
      <c r="O29" s="51"/>
      <c r="P29" s="51"/>
      <c r="Q29" s="543"/>
      <c r="R29" s="263"/>
      <c r="S29" s="132"/>
      <c r="T29" s="271"/>
      <c r="U29" s="264"/>
      <c r="V29" s="3"/>
    </row>
    <row r="30" spans="1:22" s="3" customFormat="1" ht="27.45" hidden="1" customHeight="1">
      <c r="A30" s="274">
        <v>6</v>
      </c>
      <c r="B30" s="265"/>
      <c r="C30" s="19"/>
      <c r="D30" s="32"/>
      <c r="E30" s="32"/>
      <c r="F30" s="278"/>
      <c r="G30" s="394"/>
      <c r="H30" s="245"/>
      <c r="I30" s="541">
        <f>Table1351452010[[#This Row],[ค่าบริการรายเดือนตาม Package]]+Table1351452010[[#This Row],[รายการเบิก
คอมขายเพิ่มเติม
(เป้าตามกำหนด)
100-200%]]</f>
        <v>0</v>
      </c>
      <c r="J30" s="40"/>
      <c r="K30" s="278"/>
      <c r="L30" s="279">
        <f>IF(Table1351452010[[#This Row],[ค่าขายอุปกรณ์]]&gt;Table1351452010[[#This Row],[ต้นทุนค่าขายอุปกรณ์]],Table1351452010[[#This Row],[ต้นทุนค่าขายอุปกรณ์]]*$L$4,Table1351452010[[#This Row],[ค่าขายอุปกรณ์]]*$L$4)</f>
        <v>0</v>
      </c>
      <c r="M30" s="280">
        <f>IF(Table1351452010[[#This Row],[ค่าขายอุปกรณ์]]&gt;Table1351452010[[#This Row],[ต้นทุนค่าขายอุปกรณ์]],SUM(Table1351452010[[#This Row],[ค่าขายอุปกรณ์]]-Table1351452010[[#This Row],[ต้นทุนค่าขายอุปกรณ์]])*$M$4,0)</f>
        <v>0</v>
      </c>
      <c r="N30" s="541">
        <f>SUM(Table1351452010[[#This Row],[คอมฯอุปกรณ์
 5%]:[คอมฯ อุปกรณ์
25%]])</f>
        <v>0</v>
      </c>
      <c r="O30" s="267"/>
      <c r="P30" s="267"/>
      <c r="Q30"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0" s="248">
        <f>SUM(Table1351452010[[#This Row],[Total
รายการเบิก
คอมขาย]],Table1351452010[[#This Row],[Total
คอมฯ อุปกรณ์]])+Table1351452010[[#This Row],[Total 
คอมฯค่าติดตั้ง/ค่าเชื่อมสัญญาณ]]</f>
        <v>0</v>
      </c>
      <c r="S30" s="268"/>
      <c r="T30" s="268"/>
      <c r="U30" s="269"/>
    </row>
    <row r="31" spans="1:22" s="250" customFormat="1" ht="27" hidden="1" customHeight="1">
      <c r="A31" s="275">
        <v>8.1</v>
      </c>
      <c r="B31" s="288"/>
      <c r="C31" s="20"/>
      <c r="D31" s="282"/>
      <c r="E31" s="41"/>
      <c r="F31" s="41"/>
      <c r="G31" s="44"/>
      <c r="H31" s="254"/>
      <c r="I31" s="542"/>
      <c r="J31" s="150"/>
      <c r="K31" s="389"/>
      <c r="L31" s="255"/>
      <c r="M31" s="256"/>
      <c r="N31" s="542"/>
      <c r="O31" s="50"/>
      <c r="P31" s="50"/>
      <c r="Q31" s="542"/>
      <c r="R31" s="257" t="s">
        <v>108</v>
      </c>
      <c r="S31" s="132"/>
      <c r="T31" s="271"/>
      <c r="U31" s="272"/>
      <c r="V31" s="3"/>
    </row>
    <row r="32" spans="1:22" s="250" customFormat="1" ht="27" hidden="1" customHeight="1" thickBot="1">
      <c r="A32" s="276">
        <v>8.1999999999999993</v>
      </c>
      <c r="B32" s="289"/>
      <c r="C32" s="284"/>
      <c r="D32" s="285"/>
      <c r="E32" s="39"/>
      <c r="F32" s="41"/>
      <c r="G32" s="44"/>
      <c r="H32" s="262"/>
      <c r="I32" s="543"/>
      <c r="J32" s="41"/>
      <c r="K32" s="390"/>
      <c r="L32" s="256"/>
      <c r="M32" s="256"/>
      <c r="N32" s="543"/>
      <c r="O32" s="51"/>
      <c r="P32" s="51"/>
      <c r="Q32" s="543"/>
      <c r="R32" s="263"/>
      <c r="S32" s="132"/>
      <c r="T32" s="271"/>
      <c r="U32" s="264"/>
      <c r="V32" s="3"/>
    </row>
    <row r="33" spans="1:22" s="3" customFormat="1" ht="27.45" hidden="1" customHeight="1">
      <c r="A33" s="274">
        <v>7</v>
      </c>
      <c r="B33" s="265"/>
      <c r="C33" s="19"/>
      <c r="D33" s="32"/>
      <c r="E33" s="32"/>
      <c r="F33" s="278"/>
      <c r="G33" s="394"/>
      <c r="H33" s="245"/>
      <c r="I33" s="541">
        <f>Table1351452010[[#This Row],[ค่าบริการรายเดือนตาม Package]]+Table1351452010[[#This Row],[รายการเบิก
คอมขายเพิ่มเติม
(เป้าตามกำหนด)
100-200%]]</f>
        <v>0</v>
      </c>
      <c r="J33" s="40"/>
      <c r="K33" s="278"/>
      <c r="L33" s="279">
        <f>IF(Table1351452010[[#This Row],[ค่าขายอุปกรณ์]]&gt;Table1351452010[[#This Row],[ต้นทุนค่าขายอุปกรณ์]],Table1351452010[[#This Row],[ต้นทุนค่าขายอุปกรณ์]]*$L$4,Table1351452010[[#This Row],[ค่าขายอุปกรณ์]]*$L$4)</f>
        <v>0</v>
      </c>
      <c r="M33" s="280">
        <f>IF(Table1351452010[[#This Row],[ค่าขายอุปกรณ์]]&gt;Table1351452010[[#This Row],[ต้นทุนค่าขายอุปกรณ์]],SUM(Table1351452010[[#This Row],[ค่าขายอุปกรณ์]]-Table1351452010[[#This Row],[ต้นทุนค่าขายอุปกรณ์]])*$M$4,0)</f>
        <v>0</v>
      </c>
      <c r="N33" s="541">
        <f>SUM(Table1351452010[[#This Row],[คอมฯอุปกรณ์
 5%]:[คอมฯ อุปกรณ์
25%]])</f>
        <v>0</v>
      </c>
      <c r="O33" s="267"/>
      <c r="P33" s="267"/>
      <c r="Q33"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3" s="248">
        <f>SUM(Table1351452010[[#This Row],[Total
รายการเบิก
คอมขาย]],Table1351452010[[#This Row],[Total
คอมฯ อุปกรณ์]])+Table1351452010[[#This Row],[Total 
คอมฯค่าติดตั้ง/ค่าเชื่อมสัญญาณ]]</f>
        <v>0</v>
      </c>
      <c r="S33" s="268"/>
      <c r="T33" s="268"/>
      <c r="U33" s="269"/>
    </row>
    <row r="34" spans="1:22" s="250" customFormat="1" ht="27" hidden="1" customHeight="1">
      <c r="A34" s="275">
        <v>8.1</v>
      </c>
      <c r="B34" s="288"/>
      <c r="C34" s="20"/>
      <c r="D34" s="41"/>
      <c r="E34" s="41"/>
      <c r="F34" s="41"/>
      <c r="G34" s="44"/>
      <c r="H34" s="254"/>
      <c r="I34" s="542"/>
      <c r="J34" s="150"/>
      <c r="K34" s="389"/>
      <c r="L34" s="255"/>
      <c r="M34" s="256"/>
      <c r="N34" s="542"/>
      <c r="O34" s="50"/>
      <c r="P34" s="50"/>
      <c r="Q34" s="542"/>
      <c r="R34" s="257" t="s">
        <v>108</v>
      </c>
      <c r="S34" s="132"/>
      <c r="T34" s="271"/>
      <c r="U34" s="272"/>
      <c r="V34" s="3"/>
    </row>
    <row r="35" spans="1:22" s="250" customFormat="1" ht="27" hidden="1" customHeight="1" thickBot="1">
      <c r="A35" s="276">
        <v>8.1999999999999993</v>
      </c>
      <c r="B35" s="289"/>
      <c r="C35" s="284"/>
      <c r="D35" s="285"/>
      <c r="E35" s="39"/>
      <c r="F35" s="41"/>
      <c r="G35" s="44"/>
      <c r="H35" s="262"/>
      <c r="I35" s="543"/>
      <c r="J35" s="41"/>
      <c r="K35" s="390"/>
      <c r="L35" s="256"/>
      <c r="M35" s="256"/>
      <c r="N35" s="543"/>
      <c r="O35" s="51"/>
      <c r="P35" s="51"/>
      <c r="Q35" s="543"/>
      <c r="R35" s="263"/>
      <c r="S35" s="132"/>
      <c r="T35" s="271"/>
      <c r="U35" s="264"/>
      <c r="V35" s="3"/>
    </row>
    <row r="36" spans="1:22" s="3" customFormat="1" ht="27.45" hidden="1" customHeight="1">
      <c r="A36" s="274">
        <v>8</v>
      </c>
      <c r="B36" s="291"/>
      <c r="C36" s="19"/>
      <c r="D36" s="32"/>
      <c r="E36" s="32"/>
      <c r="F36" s="278"/>
      <c r="G36" s="394"/>
      <c r="H36" s="245"/>
      <c r="I36" s="541">
        <f>Table1351452010[[#This Row],[ค่าบริการรายเดือนตาม Package]]+Table1351452010[[#This Row],[รายการเบิก
คอมขายเพิ่มเติม
(เป้าตามกำหนด)
100-200%]]</f>
        <v>0</v>
      </c>
      <c r="J36" s="40"/>
      <c r="K36" s="278"/>
      <c r="L36" s="279">
        <f>IF(Table1351452010[[#This Row],[ค่าขายอุปกรณ์]]&gt;Table1351452010[[#This Row],[ต้นทุนค่าขายอุปกรณ์]],Table1351452010[[#This Row],[ต้นทุนค่าขายอุปกรณ์]]*$L$4,Table1351452010[[#This Row],[ค่าขายอุปกรณ์]]*$L$4)</f>
        <v>0</v>
      </c>
      <c r="M36" s="280">
        <f>IF(Table1351452010[[#This Row],[ค่าขายอุปกรณ์]]&gt;Table1351452010[[#This Row],[ต้นทุนค่าขายอุปกรณ์]],SUM(Table1351452010[[#This Row],[ค่าขายอุปกรณ์]]-Table1351452010[[#This Row],[ต้นทุนค่าขายอุปกรณ์]])*$M$4,0)</f>
        <v>0</v>
      </c>
      <c r="N36" s="541">
        <f>SUM(Table1351452010[[#This Row],[คอมฯอุปกรณ์
 5%]:[คอมฯ อุปกรณ์
25%]])</f>
        <v>0</v>
      </c>
      <c r="O36" s="267"/>
      <c r="P36" s="267"/>
      <c r="Q36"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6" s="248">
        <f>SUM(Table1351452010[[#This Row],[Total
รายการเบิก
คอมขาย]],Table1351452010[[#This Row],[Total
คอมฯ อุปกรณ์]])+Table1351452010[[#This Row],[Total 
คอมฯค่าติดตั้ง/ค่าเชื่อมสัญญาณ]]</f>
        <v>0</v>
      </c>
      <c r="S36" s="268"/>
      <c r="T36" s="268"/>
      <c r="U36" s="269"/>
    </row>
    <row r="37" spans="1:22" s="250" customFormat="1" ht="27" hidden="1" customHeight="1">
      <c r="A37" s="275">
        <v>8.1</v>
      </c>
      <c r="B37" s="288"/>
      <c r="C37" s="20"/>
      <c r="D37" s="41"/>
      <c r="E37" s="41"/>
      <c r="F37" s="41"/>
      <c r="G37" s="44"/>
      <c r="H37" s="254"/>
      <c r="I37" s="542"/>
      <c r="J37" s="150"/>
      <c r="K37" s="389"/>
      <c r="L37" s="255"/>
      <c r="M37" s="256"/>
      <c r="N37" s="542"/>
      <c r="O37" s="50"/>
      <c r="P37" s="50"/>
      <c r="Q37" s="542"/>
      <c r="R37" s="257" t="s">
        <v>108</v>
      </c>
      <c r="S37" s="132"/>
      <c r="T37" s="271"/>
      <c r="U37" s="272"/>
      <c r="V37" s="3"/>
    </row>
    <row r="38" spans="1:22" s="250" customFormat="1" ht="27" hidden="1" customHeight="1" thickBot="1">
      <c r="A38" s="276">
        <v>8.1999999999999993</v>
      </c>
      <c r="B38" s="289"/>
      <c r="C38" s="284"/>
      <c r="D38" s="285"/>
      <c r="E38" s="39"/>
      <c r="F38" s="41"/>
      <c r="G38" s="44"/>
      <c r="H38" s="262"/>
      <c r="I38" s="543"/>
      <c r="J38" s="41"/>
      <c r="K38" s="390"/>
      <c r="L38" s="256"/>
      <c r="M38" s="256"/>
      <c r="N38" s="543"/>
      <c r="O38" s="51"/>
      <c r="P38" s="51"/>
      <c r="Q38" s="543"/>
      <c r="R38" s="263"/>
      <c r="S38" s="132"/>
      <c r="T38" s="271"/>
      <c r="U38" s="264"/>
      <c r="V38" s="3"/>
    </row>
    <row r="39" spans="1:22" s="3" customFormat="1" ht="27.45" hidden="1" customHeight="1">
      <c r="A39" s="274">
        <v>9</v>
      </c>
      <c r="B39" s="291"/>
      <c r="C39" s="19"/>
      <c r="D39" s="32"/>
      <c r="E39" s="32"/>
      <c r="F39" s="278"/>
      <c r="G39" s="394"/>
      <c r="H39" s="245"/>
      <c r="I39" s="541">
        <f>Table1351452010[[#This Row],[ค่าบริการรายเดือนตาม Package]]+Table1351452010[[#This Row],[รายการเบิก
คอมขายเพิ่มเติม
(เป้าตามกำหนด)
100-200%]]</f>
        <v>0</v>
      </c>
      <c r="J39" s="40"/>
      <c r="K39" s="278"/>
      <c r="L39" s="279">
        <f>IF(Table1351452010[[#This Row],[ค่าขายอุปกรณ์]]&gt;Table1351452010[[#This Row],[ต้นทุนค่าขายอุปกรณ์]],Table1351452010[[#This Row],[ต้นทุนค่าขายอุปกรณ์]]*$L$4,Table1351452010[[#This Row],[ค่าขายอุปกรณ์]]*$L$4)</f>
        <v>0</v>
      </c>
      <c r="M39" s="280">
        <f>IF(Table1351452010[[#This Row],[ค่าขายอุปกรณ์]]&gt;Table1351452010[[#This Row],[ต้นทุนค่าขายอุปกรณ์]],SUM(Table1351452010[[#This Row],[ค่าขายอุปกรณ์]]-Table1351452010[[#This Row],[ต้นทุนค่าขายอุปกรณ์]])*$M$4,0)</f>
        <v>0</v>
      </c>
      <c r="N39" s="541">
        <f>SUM(Table1351452010[[#This Row],[คอมฯอุปกรณ์
 5%]:[คอมฯ อุปกรณ์
25%]])</f>
        <v>0</v>
      </c>
      <c r="O39" s="267"/>
      <c r="P39" s="267"/>
      <c r="Q39"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9" s="248">
        <f>SUM(Table1351452010[[#This Row],[Total
รายการเบิก
คอมขาย]],Table1351452010[[#This Row],[Total
คอมฯ อุปกรณ์]])+Table1351452010[[#This Row],[Total 
คอมฯค่าติดตั้ง/ค่าเชื่อมสัญญาณ]]</f>
        <v>0</v>
      </c>
      <c r="S39" s="268"/>
      <c r="T39" s="268"/>
      <c r="U39" s="269"/>
    </row>
    <row r="40" spans="1:22" s="250" customFormat="1" ht="27" hidden="1" customHeight="1">
      <c r="A40" s="275">
        <v>8.1</v>
      </c>
      <c r="B40" s="288"/>
      <c r="C40" s="20"/>
      <c r="D40" s="41"/>
      <c r="E40" s="41"/>
      <c r="F40" s="41"/>
      <c r="G40" s="44"/>
      <c r="H40" s="254"/>
      <c r="I40" s="542"/>
      <c r="J40" s="150"/>
      <c r="K40" s="151"/>
      <c r="L40" s="255"/>
      <c r="M40" s="256"/>
      <c r="N40" s="542"/>
      <c r="O40" s="50"/>
      <c r="P40" s="50"/>
      <c r="Q40" s="542"/>
      <c r="R40" s="257" t="s">
        <v>108</v>
      </c>
      <c r="S40" s="132"/>
      <c r="T40" s="271"/>
      <c r="U40" s="272"/>
      <c r="V40" s="3"/>
    </row>
    <row r="41" spans="1:22" s="250" customFormat="1" ht="27" hidden="1" customHeight="1" thickBot="1">
      <c r="A41" s="276">
        <v>8.1999999999999993</v>
      </c>
      <c r="B41" s="289"/>
      <c r="C41" s="284"/>
      <c r="D41" s="285"/>
      <c r="E41" s="39"/>
      <c r="F41" s="41"/>
      <c r="G41" s="44"/>
      <c r="H41" s="262"/>
      <c r="I41" s="543"/>
      <c r="J41" s="41"/>
      <c r="K41" s="41"/>
      <c r="L41" s="256"/>
      <c r="M41" s="256"/>
      <c r="N41" s="543"/>
      <c r="O41" s="51"/>
      <c r="P41" s="51"/>
      <c r="Q41" s="543"/>
      <c r="R41" s="263"/>
      <c r="S41" s="132"/>
      <c r="T41" s="271"/>
      <c r="U41" s="264"/>
      <c r="V41" s="3"/>
    </row>
    <row r="42" spans="1:22" s="3" customFormat="1" ht="27.45" hidden="1" customHeight="1">
      <c r="A42" s="274">
        <v>10</v>
      </c>
      <c r="B42" s="291"/>
      <c r="C42" s="19"/>
      <c r="D42" s="32"/>
      <c r="E42" s="32"/>
      <c r="F42" s="278"/>
      <c r="G42" s="394"/>
      <c r="H42" s="245"/>
      <c r="I42" s="541">
        <f>Table1351452010[[#This Row],[ค่าบริการรายเดือนตาม Package]]+Table1351452010[[#This Row],[รายการเบิก
คอมขายเพิ่มเติม
(เป้าตามกำหนด)
100-200%]]</f>
        <v>0</v>
      </c>
      <c r="J42" s="40"/>
      <c r="K42" s="278"/>
      <c r="L42" s="279">
        <f>IF(Table1351452010[[#This Row],[ค่าขายอุปกรณ์]]&gt;Table1351452010[[#This Row],[ต้นทุนค่าขายอุปกรณ์]],Table1351452010[[#This Row],[ต้นทุนค่าขายอุปกรณ์]]*$L$4,Table1351452010[[#This Row],[ค่าขายอุปกรณ์]]*$L$4)</f>
        <v>0</v>
      </c>
      <c r="M42" s="280">
        <f>IF(Table1351452010[[#This Row],[ค่าขายอุปกรณ์]]&gt;Table1351452010[[#This Row],[ต้นทุนค่าขายอุปกรณ์]],SUM(Table1351452010[[#This Row],[ค่าขายอุปกรณ์]]-Table1351452010[[#This Row],[ต้นทุนค่าขายอุปกรณ์]])*$M$4,0)</f>
        <v>0</v>
      </c>
      <c r="N42" s="541">
        <f>SUM(Table1351452010[[#This Row],[คอมฯอุปกรณ์
 5%]:[คอมฯ อุปกรณ์
25%]])</f>
        <v>0</v>
      </c>
      <c r="O42" s="267"/>
      <c r="P42" s="267"/>
      <c r="Q42"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2" s="248">
        <f>SUM(Table1351452010[[#This Row],[Total
รายการเบิก
คอมขาย]],Table1351452010[[#This Row],[Total
คอมฯ อุปกรณ์]])+Table1351452010[[#This Row],[Total 
คอมฯค่าติดตั้ง/ค่าเชื่อมสัญญาณ]]</f>
        <v>0</v>
      </c>
      <c r="S42" s="268"/>
      <c r="T42" s="268"/>
      <c r="U42" s="269"/>
    </row>
    <row r="43" spans="1:22" s="250" customFormat="1" ht="27" hidden="1" customHeight="1">
      <c r="A43" s="275"/>
      <c r="B43" s="288"/>
      <c r="C43" s="20"/>
      <c r="D43" s="41"/>
      <c r="E43" s="41"/>
      <c r="F43" s="41"/>
      <c r="G43" s="44"/>
      <c r="H43" s="254"/>
      <c r="I43" s="542"/>
      <c r="J43" s="150"/>
      <c r="K43" s="151"/>
      <c r="L43" s="255"/>
      <c r="M43" s="256"/>
      <c r="N43" s="542"/>
      <c r="O43" s="50"/>
      <c r="P43" s="50"/>
      <c r="Q43" s="542"/>
      <c r="R43" s="257" t="s">
        <v>108</v>
      </c>
      <c r="S43" s="132"/>
      <c r="T43" s="271"/>
      <c r="U43" s="272"/>
      <c r="V43" s="3"/>
    </row>
    <row r="44" spans="1:22" s="250" customFormat="1" ht="27" hidden="1" customHeight="1" thickBot="1">
      <c r="A44" s="276"/>
      <c r="B44" s="289"/>
      <c r="C44" s="284"/>
      <c r="D44" s="285"/>
      <c r="E44" s="39"/>
      <c r="F44" s="41"/>
      <c r="G44" s="44"/>
      <c r="H44" s="262"/>
      <c r="I44" s="543"/>
      <c r="J44" s="41"/>
      <c r="K44" s="41"/>
      <c r="L44" s="256"/>
      <c r="M44" s="256"/>
      <c r="N44" s="543"/>
      <c r="O44" s="51"/>
      <c r="P44" s="51"/>
      <c r="Q44" s="543"/>
      <c r="R44" s="263"/>
      <c r="S44" s="132"/>
      <c r="T44" s="271"/>
      <c r="U44" s="264"/>
      <c r="V44" s="3"/>
    </row>
    <row r="45" spans="1:22" s="3" customFormat="1" ht="27.45" hidden="1" customHeight="1">
      <c r="A45" s="274">
        <v>11</v>
      </c>
      <c r="B45" s="290"/>
      <c r="C45" s="19"/>
      <c r="D45" s="32"/>
      <c r="E45" s="32"/>
      <c r="F45" s="278"/>
      <c r="G45" s="394"/>
      <c r="H45" s="245"/>
      <c r="I45" s="541">
        <f>Table1351452010[[#This Row],[ค่าบริการรายเดือนตาม Package]]+Table1351452010[[#This Row],[รายการเบิก
คอมขายเพิ่มเติม
(เป้าตามกำหนด)
100-200%]]</f>
        <v>0</v>
      </c>
      <c r="J45" s="40"/>
      <c r="K45" s="278"/>
      <c r="L45" s="279">
        <f>IF(Table1351452010[[#This Row],[ค่าขายอุปกรณ์]]&gt;Table1351452010[[#This Row],[ต้นทุนค่าขายอุปกรณ์]],Table1351452010[[#This Row],[ต้นทุนค่าขายอุปกรณ์]]*$L$4,Table1351452010[[#This Row],[ค่าขายอุปกรณ์]]*$L$4)</f>
        <v>0</v>
      </c>
      <c r="M45" s="280">
        <f>IF(Table1351452010[[#This Row],[ค่าขายอุปกรณ์]]&gt;Table1351452010[[#This Row],[ต้นทุนค่าขายอุปกรณ์]],SUM(Table1351452010[[#This Row],[ค่าขายอุปกรณ์]]-Table1351452010[[#This Row],[ต้นทุนค่าขายอุปกรณ์]])*$M$4,0)</f>
        <v>0</v>
      </c>
      <c r="N45" s="541">
        <f>SUM(Table1351452010[[#This Row],[คอมฯอุปกรณ์
 5%]:[คอมฯ อุปกรณ์
25%]])</f>
        <v>0</v>
      </c>
      <c r="O45" s="267"/>
      <c r="P45" s="267"/>
      <c r="Q45"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5" s="248">
        <f>SUM(Table1351452010[[#This Row],[Total
รายการเบิก
คอมขาย]],Table1351452010[[#This Row],[Total
คอมฯ อุปกรณ์]])+Table1351452010[[#This Row],[Total 
คอมฯค่าติดตั้ง/ค่าเชื่อมสัญญาณ]]</f>
        <v>0</v>
      </c>
      <c r="S45" s="268"/>
      <c r="T45" s="268"/>
      <c r="U45" s="269"/>
    </row>
    <row r="46" spans="1:22" s="250" customFormat="1" ht="27" hidden="1" customHeight="1">
      <c r="A46" s="275"/>
      <c r="B46" s="288"/>
      <c r="C46" s="20"/>
      <c r="D46" s="41"/>
      <c r="E46" s="41"/>
      <c r="F46" s="41"/>
      <c r="G46" s="44"/>
      <c r="H46" s="254"/>
      <c r="I46" s="542"/>
      <c r="J46" s="150"/>
      <c r="K46" s="151"/>
      <c r="L46" s="255"/>
      <c r="M46" s="256"/>
      <c r="N46" s="542"/>
      <c r="O46" s="50"/>
      <c r="P46" s="50"/>
      <c r="Q46" s="542"/>
      <c r="R46" s="257" t="s">
        <v>108</v>
      </c>
      <c r="S46" s="132"/>
      <c r="T46" s="271"/>
      <c r="U46" s="272"/>
      <c r="V46" s="3"/>
    </row>
    <row r="47" spans="1:22" s="250" customFormat="1" ht="27" hidden="1" customHeight="1" thickBot="1">
      <c r="A47" s="276"/>
      <c r="B47" s="289"/>
      <c r="C47" s="284"/>
      <c r="D47" s="285"/>
      <c r="E47" s="39"/>
      <c r="F47" s="41"/>
      <c r="G47" s="44"/>
      <c r="H47" s="262"/>
      <c r="I47" s="543"/>
      <c r="J47" s="41"/>
      <c r="K47" s="41"/>
      <c r="L47" s="256"/>
      <c r="M47" s="256"/>
      <c r="N47" s="543"/>
      <c r="O47" s="51"/>
      <c r="P47" s="51"/>
      <c r="Q47" s="543"/>
      <c r="R47" s="263"/>
      <c r="S47" s="132"/>
      <c r="T47" s="271"/>
      <c r="U47" s="264"/>
      <c r="V47" s="3"/>
    </row>
    <row r="48" spans="1:22" s="3" customFormat="1" ht="27.45" hidden="1" customHeight="1">
      <c r="A48" s="274">
        <v>12</v>
      </c>
      <c r="B48" s="290"/>
      <c r="C48" s="19"/>
      <c r="D48" s="32"/>
      <c r="E48" s="32"/>
      <c r="F48" s="278"/>
      <c r="G48" s="52"/>
      <c r="H48" s="245"/>
      <c r="I48" s="541">
        <f>Table1351452010[[#This Row],[ค่าบริการรายเดือนตาม Package]]+Table1351452010[[#This Row],[รายการเบิก
คอมขายเพิ่มเติม
(เป้าตามกำหนด)
100-200%]]</f>
        <v>0</v>
      </c>
      <c r="J48" s="40"/>
      <c r="K48" s="278"/>
      <c r="L48" s="279">
        <f>IF(Table1351452010[[#This Row],[ค่าขายอุปกรณ์]]&gt;Table1351452010[[#This Row],[ต้นทุนค่าขายอุปกรณ์]],Table1351452010[[#This Row],[ต้นทุนค่าขายอุปกรณ์]]*$L$4,Table1351452010[[#This Row],[ค่าขายอุปกรณ์]]*$L$4)</f>
        <v>0</v>
      </c>
      <c r="M48" s="280">
        <f>IF(Table1351452010[[#This Row],[ค่าขายอุปกรณ์]]&gt;Table1351452010[[#This Row],[ต้นทุนค่าขายอุปกรณ์]],SUM(Table1351452010[[#This Row],[ค่าขายอุปกรณ์]]-Table1351452010[[#This Row],[ต้นทุนค่าขายอุปกรณ์]])*$M$4,0)</f>
        <v>0</v>
      </c>
      <c r="N48" s="541">
        <f>SUM(Table1351452010[[#This Row],[คอมฯอุปกรณ์
 5%]:[คอมฯ อุปกรณ์
25%]])</f>
        <v>0</v>
      </c>
      <c r="O48" s="267"/>
      <c r="P48" s="267"/>
      <c r="Q48"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8" s="248">
        <f>SUM(Table1351452010[[#This Row],[Total
รายการเบิก
คอมขาย]],Table1351452010[[#This Row],[Total
คอมฯ อุปกรณ์]])+Table1351452010[[#This Row],[Total 
คอมฯค่าติดตั้ง/ค่าเชื่อมสัญญาณ]]</f>
        <v>0</v>
      </c>
      <c r="S48" s="268"/>
      <c r="T48" s="268"/>
      <c r="U48" s="269"/>
    </row>
    <row r="49" spans="1:22" s="250" customFormat="1" ht="27" hidden="1" customHeight="1">
      <c r="A49" s="275"/>
      <c r="B49" s="288"/>
      <c r="C49" s="20"/>
      <c r="D49" s="41"/>
      <c r="E49" s="41"/>
      <c r="F49" s="41"/>
      <c r="G49" s="44"/>
      <c r="H49" s="254"/>
      <c r="I49" s="542"/>
      <c r="J49" s="150"/>
      <c r="K49" s="151"/>
      <c r="L49" s="255"/>
      <c r="M49" s="256"/>
      <c r="N49" s="542"/>
      <c r="O49" s="50"/>
      <c r="P49" s="50"/>
      <c r="Q49" s="542"/>
      <c r="R49" s="257" t="s">
        <v>108</v>
      </c>
      <c r="S49" s="132"/>
      <c r="T49" s="271"/>
      <c r="U49" s="272"/>
      <c r="V49" s="3"/>
    </row>
    <row r="50" spans="1:22" s="250" customFormat="1" ht="27" hidden="1" customHeight="1" thickBot="1">
      <c r="A50" s="276"/>
      <c r="B50" s="289"/>
      <c r="C50" s="284"/>
      <c r="D50" s="285"/>
      <c r="E50" s="39"/>
      <c r="F50" s="41"/>
      <c r="G50" s="44"/>
      <c r="H50" s="262"/>
      <c r="I50" s="543"/>
      <c r="J50" s="41"/>
      <c r="K50" s="41"/>
      <c r="L50" s="256"/>
      <c r="M50" s="256"/>
      <c r="N50" s="543"/>
      <c r="O50" s="51"/>
      <c r="P50" s="51"/>
      <c r="Q50" s="543"/>
      <c r="R50" s="263"/>
      <c r="S50" s="132"/>
      <c r="T50" s="271"/>
      <c r="U50" s="264"/>
      <c r="V50" s="3"/>
    </row>
    <row r="51" spans="1:22" s="3" customFormat="1" ht="27.45" hidden="1" customHeight="1">
      <c r="A51" s="274">
        <v>13</v>
      </c>
      <c r="B51" s="290"/>
      <c r="C51" s="19"/>
      <c r="D51" s="32"/>
      <c r="E51" s="32"/>
      <c r="F51" s="278"/>
      <c r="G51" s="394"/>
      <c r="H51" s="245"/>
      <c r="I51" s="541">
        <f>Table1351452010[[#This Row],[ค่าบริการรายเดือนตาม Package]]+Table1351452010[[#This Row],[รายการเบิก
คอมขายเพิ่มเติม
(เป้าตามกำหนด)
100-200%]]</f>
        <v>0</v>
      </c>
      <c r="J51" s="40"/>
      <c r="K51" s="278"/>
      <c r="L51" s="279">
        <f>IF(Table1351452010[[#This Row],[ค่าขายอุปกรณ์]]&gt;Table1351452010[[#This Row],[ต้นทุนค่าขายอุปกรณ์]],Table1351452010[[#This Row],[ต้นทุนค่าขายอุปกรณ์]]*$L$4,Table1351452010[[#This Row],[ค่าขายอุปกรณ์]]*$L$4)</f>
        <v>0</v>
      </c>
      <c r="M51" s="280">
        <f>IF(Table1351452010[[#This Row],[ค่าขายอุปกรณ์]]&gt;Table1351452010[[#This Row],[ต้นทุนค่าขายอุปกรณ์]],SUM(Table1351452010[[#This Row],[ค่าขายอุปกรณ์]]-Table1351452010[[#This Row],[ต้นทุนค่าขายอุปกรณ์]])*$M$4,0)</f>
        <v>0</v>
      </c>
      <c r="N51" s="541">
        <f>SUM(Table1351452010[[#This Row],[คอมฯอุปกรณ์
 5%]:[คอมฯ อุปกรณ์
25%]])</f>
        <v>0</v>
      </c>
      <c r="O51" s="267"/>
      <c r="P51" s="267"/>
      <c r="Q51"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1" s="248">
        <f>SUM(Table1351452010[[#This Row],[Total
รายการเบิก
คอมขาย]],Table1351452010[[#This Row],[Total
คอมฯ อุปกรณ์]])+Table1351452010[[#This Row],[Total 
คอมฯค่าติดตั้ง/ค่าเชื่อมสัญญาณ]]</f>
        <v>0</v>
      </c>
      <c r="S51" s="268"/>
      <c r="T51" s="268"/>
      <c r="U51" s="269"/>
    </row>
    <row r="52" spans="1:22" s="250" customFormat="1" ht="27" hidden="1" customHeight="1">
      <c r="A52" s="275"/>
      <c r="B52" s="288"/>
      <c r="C52" s="20"/>
      <c r="D52" s="41"/>
      <c r="E52" s="41"/>
      <c r="F52" s="41"/>
      <c r="G52" s="44"/>
      <c r="H52" s="254"/>
      <c r="I52" s="542"/>
      <c r="J52" s="150"/>
      <c r="K52" s="151"/>
      <c r="L52" s="255"/>
      <c r="M52" s="256"/>
      <c r="N52" s="542"/>
      <c r="O52" s="50"/>
      <c r="P52" s="50"/>
      <c r="Q52" s="542"/>
      <c r="R52" s="257" t="s">
        <v>108</v>
      </c>
      <c r="S52" s="132"/>
      <c r="T52" s="271"/>
      <c r="U52" s="272"/>
      <c r="V52" s="3"/>
    </row>
    <row r="53" spans="1:22" s="250" customFormat="1" ht="27" hidden="1" customHeight="1" thickBot="1">
      <c r="A53" s="276"/>
      <c r="B53" s="289"/>
      <c r="C53" s="284"/>
      <c r="D53" s="285"/>
      <c r="E53" s="39"/>
      <c r="F53" s="41"/>
      <c r="G53" s="44"/>
      <c r="H53" s="262"/>
      <c r="I53" s="543"/>
      <c r="J53" s="41"/>
      <c r="K53" s="41"/>
      <c r="L53" s="256"/>
      <c r="M53" s="256"/>
      <c r="N53" s="543"/>
      <c r="O53" s="51"/>
      <c r="P53" s="51"/>
      <c r="Q53" s="543"/>
      <c r="R53" s="263"/>
      <c r="S53" s="132"/>
      <c r="T53" s="271"/>
      <c r="U53" s="264"/>
      <c r="V53" s="3"/>
    </row>
    <row r="54" spans="1:22" s="3" customFormat="1" ht="27.45" hidden="1" customHeight="1">
      <c r="A54" s="274">
        <v>14</v>
      </c>
      <c r="B54" s="290"/>
      <c r="C54" s="19"/>
      <c r="D54" s="32"/>
      <c r="E54" s="32"/>
      <c r="F54" s="278"/>
      <c r="G54" s="394"/>
      <c r="H54" s="245"/>
      <c r="I54" s="541">
        <f>Table1351452010[[#This Row],[ค่าบริการรายเดือนตาม Package]]+Table1351452010[[#This Row],[รายการเบิก
คอมขายเพิ่มเติม
(เป้าตามกำหนด)
100-200%]]</f>
        <v>0</v>
      </c>
      <c r="J54" s="40"/>
      <c r="K54" s="278"/>
      <c r="L54" s="279">
        <f>IF(Table1351452010[[#This Row],[ค่าขายอุปกรณ์]]&gt;Table1351452010[[#This Row],[ต้นทุนค่าขายอุปกรณ์]],Table1351452010[[#This Row],[ต้นทุนค่าขายอุปกรณ์]]*$L$4,Table1351452010[[#This Row],[ค่าขายอุปกรณ์]]*$L$4)</f>
        <v>0</v>
      </c>
      <c r="M54" s="280">
        <f>IF(Table1351452010[[#This Row],[ค่าขายอุปกรณ์]]&gt;Table1351452010[[#This Row],[ต้นทุนค่าขายอุปกรณ์]],SUM(Table1351452010[[#This Row],[ค่าขายอุปกรณ์]]-Table1351452010[[#This Row],[ต้นทุนค่าขายอุปกรณ์]])*$M$4,0)</f>
        <v>0</v>
      </c>
      <c r="N54" s="541">
        <f>SUM(Table1351452010[[#This Row],[คอมฯอุปกรณ์
 5%]:[คอมฯ อุปกรณ์
25%]])</f>
        <v>0</v>
      </c>
      <c r="O54" s="267"/>
      <c r="P54" s="267"/>
      <c r="Q54"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4" s="248">
        <f>SUM(Table1351452010[[#This Row],[Total
รายการเบิก
คอมขาย]],Table1351452010[[#This Row],[Total
คอมฯ อุปกรณ์]])+Table1351452010[[#This Row],[Total 
คอมฯค่าติดตั้ง/ค่าเชื่อมสัญญาณ]]</f>
        <v>0</v>
      </c>
      <c r="S54" s="268"/>
      <c r="T54" s="268"/>
      <c r="U54" s="269"/>
    </row>
    <row r="55" spans="1:22" s="250" customFormat="1" ht="27" hidden="1" customHeight="1">
      <c r="A55" s="275"/>
      <c r="B55" s="288"/>
      <c r="C55" s="20"/>
      <c r="D55" s="41"/>
      <c r="E55" s="41"/>
      <c r="F55" s="41"/>
      <c r="G55" s="44"/>
      <c r="H55" s="254"/>
      <c r="I55" s="542"/>
      <c r="J55" s="150"/>
      <c r="K55" s="151"/>
      <c r="L55" s="255"/>
      <c r="M55" s="256"/>
      <c r="N55" s="542"/>
      <c r="O55" s="50"/>
      <c r="P55" s="50"/>
      <c r="Q55" s="542"/>
      <c r="R55" s="257" t="s">
        <v>108</v>
      </c>
      <c r="S55" s="132"/>
      <c r="T55" s="271"/>
      <c r="U55" s="272"/>
      <c r="V55" s="3"/>
    </row>
    <row r="56" spans="1:22" s="250" customFormat="1" ht="27" hidden="1" customHeight="1" thickBot="1">
      <c r="A56" s="276"/>
      <c r="B56" s="289"/>
      <c r="C56" s="284"/>
      <c r="D56" s="285"/>
      <c r="E56" s="39"/>
      <c r="F56" s="41"/>
      <c r="G56" s="44"/>
      <c r="H56" s="262"/>
      <c r="I56" s="543"/>
      <c r="J56" s="41"/>
      <c r="K56" s="41"/>
      <c r="L56" s="256"/>
      <c r="M56" s="256"/>
      <c r="N56" s="543"/>
      <c r="O56" s="51"/>
      <c r="P56" s="51"/>
      <c r="Q56" s="543"/>
      <c r="R56" s="263"/>
      <c r="S56" s="132"/>
      <c r="T56" s="271"/>
      <c r="U56" s="264"/>
      <c r="V56" s="3"/>
    </row>
    <row r="57" spans="1:22" s="3" customFormat="1" ht="27.45" hidden="1" customHeight="1">
      <c r="A57" s="274">
        <v>15</v>
      </c>
      <c r="B57" s="290"/>
      <c r="C57" s="19"/>
      <c r="D57" s="32"/>
      <c r="E57" s="32"/>
      <c r="F57" s="278"/>
      <c r="G57" s="394"/>
      <c r="H57" s="245"/>
      <c r="I57" s="541">
        <f>Table1351452010[[#This Row],[ค่าบริการรายเดือนตาม Package]]+Table1351452010[[#This Row],[รายการเบิก
คอมขายเพิ่มเติม
(เป้าตามกำหนด)
100-200%]]</f>
        <v>0</v>
      </c>
      <c r="J57" s="40"/>
      <c r="K57" s="278"/>
      <c r="L57" s="279">
        <f>IF(Table1351452010[[#This Row],[ค่าขายอุปกรณ์]]&gt;Table1351452010[[#This Row],[ต้นทุนค่าขายอุปกรณ์]],Table1351452010[[#This Row],[ต้นทุนค่าขายอุปกรณ์]]*$L$4,Table1351452010[[#This Row],[ค่าขายอุปกรณ์]]*$L$4)</f>
        <v>0</v>
      </c>
      <c r="M57" s="280">
        <f>IF(Table1351452010[[#This Row],[ค่าขายอุปกรณ์]]&gt;Table1351452010[[#This Row],[ต้นทุนค่าขายอุปกรณ์]],SUM(Table1351452010[[#This Row],[ค่าขายอุปกรณ์]]-Table1351452010[[#This Row],[ต้นทุนค่าขายอุปกรณ์]])*$M$4,0)</f>
        <v>0</v>
      </c>
      <c r="N57" s="541">
        <f>SUM(Table1351452010[[#This Row],[คอมฯอุปกรณ์
 5%]:[คอมฯ อุปกรณ์
25%]])</f>
        <v>0</v>
      </c>
      <c r="O57" s="267"/>
      <c r="P57" s="267"/>
      <c r="Q57"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7" s="248">
        <f>SUM(Table1351452010[[#This Row],[Total
รายการเบิก
คอมขาย]],Table1351452010[[#This Row],[Total
คอมฯ อุปกรณ์]])+Table1351452010[[#This Row],[Total 
คอมฯค่าติดตั้ง/ค่าเชื่อมสัญญาณ]]</f>
        <v>0</v>
      </c>
      <c r="S57" s="268"/>
      <c r="T57" s="268"/>
      <c r="U57" s="269"/>
    </row>
    <row r="58" spans="1:22" s="250" customFormat="1" ht="27" hidden="1" customHeight="1">
      <c r="A58" s="275"/>
      <c r="B58" s="288"/>
      <c r="C58" s="20"/>
      <c r="D58" s="41"/>
      <c r="E58" s="41"/>
      <c r="F58" s="41"/>
      <c r="G58" s="44"/>
      <c r="H58" s="254"/>
      <c r="I58" s="542"/>
      <c r="J58" s="150"/>
      <c r="K58" s="151"/>
      <c r="L58" s="255"/>
      <c r="M58" s="256"/>
      <c r="N58" s="542"/>
      <c r="O58" s="50"/>
      <c r="P58" s="50"/>
      <c r="Q58" s="542"/>
      <c r="R58" s="257" t="s">
        <v>108</v>
      </c>
      <c r="S58" s="132"/>
      <c r="T58" s="271"/>
      <c r="U58" s="272"/>
      <c r="V58" s="3"/>
    </row>
    <row r="59" spans="1:22" s="250" customFormat="1" ht="27" hidden="1" customHeight="1" thickBot="1">
      <c r="A59" s="276"/>
      <c r="B59" s="289"/>
      <c r="C59" s="284"/>
      <c r="D59" s="285"/>
      <c r="E59" s="39"/>
      <c r="F59" s="41"/>
      <c r="G59" s="44"/>
      <c r="H59" s="262"/>
      <c r="I59" s="543"/>
      <c r="J59" s="41"/>
      <c r="K59" s="41"/>
      <c r="L59" s="256"/>
      <c r="M59" s="256"/>
      <c r="N59" s="543"/>
      <c r="O59" s="51"/>
      <c r="P59" s="51"/>
      <c r="Q59" s="543"/>
      <c r="R59" s="263"/>
      <c r="S59" s="132"/>
      <c r="T59" s="271"/>
      <c r="U59" s="264"/>
      <c r="V59" s="3"/>
    </row>
    <row r="60" spans="1:22" s="3" customFormat="1" ht="27.45" hidden="1" customHeight="1">
      <c r="A60" s="274">
        <v>16</v>
      </c>
      <c r="B60" s="290"/>
      <c r="C60" s="19"/>
      <c r="D60" s="32"/>
      <c r="E60" s="32"/>
      <c r="F60" s="278"/>
      <c r="G60" s="394"/>
      <c r="H60" s="245"/>
      <c r="I60" s="541">
        <f>Table1351452010[[#This Row],[ค่าบริการรายเดือนตาม Package]]+Table1351452010[[#This Row],[รายการเบิก
คอมขายเพิ่มเติม
(เป้าตามกำหนด)
100-200%]]</f>
        <v>0</v>
      </c>
      <c r="J60" s="40"/>
      <c r="K60" s="278"/>
      <c r="L60" s="279">
        <f>IF(Table1351452010[[#This Row],[ค่าขายอุปกรณ์]]&gt;Table1351452010[[#This Row],[ต้นทุนค่าขายอุปกรณ์]],Table1351452010[[#This Row],[ต้นทุนค่าขายอุปกรณ์]]*$L$4,Table1351452010[[#This Row],[ค่าขายอุปกรณ์]]*$L$4)</f>
        <v>0</v>
      </c>
      <c r="M60" s="280">
        <f>IF(Table1351452010[[#This Row],[ค่าขายอุปกรณ์]]&gt;Table1351452010[[#This Row],[ต้นทุนค่าขายอุปกรณ์]],SUM(Table1351452010[[#This Row],[ค่าขายอุปกรณ์]]-Table1351452010[[#This Row],[ต้นทุนค่าขายอุปกรณ์]])*$M$4,0)</f>
        <v>0</v>
      </c>
      <c r="N60" s="541">
        <f>SUM(Table1351452010[[#This Row],[คอมฯอุปกรณ์
 5%]:[คอมฯ อุปกรณ์
25%]])</f>
        <v>0</v>
      </c>
      <c r="O60" s="267"/>
      <c r="P60" s="267"/>
      <c r="Q60"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0" s="248">
        <f>SUM(Table1351452010[[#This Row],[Total
รายการเบิก
คอมขาย]],Table1351452010[[#This Row],[Total
คอมฯ อุปกรณ์]])+Table1351452010[[#This Row],[Total 
คอมฯค่าติดตั้ง/ค่าเชื่อมสัญญาณ]]</f>
        <v>0</v>
      </c>
      <c r="S60" s="268"/>
      <c r="T60" s="268"/>
      <c r="U60" s="269"/>
    </row>
    <row r="61" spans="1:22" s="250" customFormat="1" ht="27" hidden="1" customHeight="1">
      <c r="A61" s="275"/>
      <c r="B61" s="288"/>
      <c r="C61" s="20"/>
      <c r="D61" s="41"/>
      <c r="E61" s="41"/>
      <c r="F61" s="41"/>
      <c r="G61" s="44"/>
      <c r="H61" s="254"/>
      <c r="I61" s="542"/>
      <c r="J61" s="150"/>
      <c r="K61" s="151"/>
      <c r="L61" s="255"/>
      <c r="M61" s="256"/>
      <c r="N61" s="542"/>
      <c r="O61" s="50"/>
      <c r="P61" s="50"/>
      <c r="Q61" s="542"/>
      <c r="R61" s="257" t="s">
        <v>108</v>
      </c>
      <c r="S61" s="132"/>
      <c r="T61" s="271"/>
      <c r="U61" s="272"/>
      <c r="V61" s="3"/>
    </row>
    <row r="62" spans="1:22" s="250" customFormat="1" ht="27" hidden="1" customHeight="1" thickBot="1">
      <c r="A62" s="276"/>
      <c r="B62" s="289"/>
      <c r="C62" s="284"/>
      <c r="D62" s="285"/>
      <c r="E62" s="39"/>
      <c r="F62" s="41"/>
      <c r="G62" s="44"/>
      <c r="H62" s="262"/>
      <c r="I62" s="543"/>
      <c r="J62" s="41"/>
      <c r="K62" s="41"/>
      <c r="L62" s="256"/>
      <c r="M62" s="256"/>
      <c r="N62" s="543"/>
      <c r="O62" s="51"/>
      <c r="P62" s="51"/>
      <c r="Q62" s="543"/>
      <c r="R62" s="263"/>
      <c r="S62" s="132"/>
      <c r="T62" s="271"/>
      <c r="U62" s="264"/>
      <c r="V62" s="3"/>
    </row>
    <row r="63" spans="1:22" s="3" customFormat="1" ht="27.45" hidden="1" customHeight="1">
      <c r="A63" s="274">
        <v>17</v>
      </c>
      <c r="B63" s="290"/>
      <c r="C63" s="19"/>
      <c r="D63" s="32"/>
      <c r="E63" s="32"/>
      <c r="F63" s="278"/>
      <c r="G63" s="394"/>
      <c r="H63" s="245"/>
      <c r="I63" s="541">
        <f>Table1351452010[[#This Row],[ค่าบริการรายเดือนตาม Package]]+Table1351452010[[#This Row],[รายการเบิก
คอมขายเพิ่มเติม
(เป้าตามกำหนด)
100-200%]]</f>
        <v>0</v>
      </c>
      <c r="J63" s="40"/>
      <c r="K63" s="278"/>
      <c r="L63" s="279">
        <f>IF(Table1351452010[[#This Row],[ค่าขายอุปกรณ์]]&gt;Table1351452010[[#This Row],[ต้นทุนค่าขายอุปกรณ์]],Table1351452010[[#This Row],[ต้นทุนค่าขายอุปกรณ์]]*$L$4,Table1351452010[[#This Row],[ค่าขายอุปกรณ์]]*$L$4)</f>
        <v>0</v>
      </c>
      <c r="M63" s="280">
        <f>IF(Table1351452010[[#This Row],[ค่าขายอุปกรณ์]]&gt;Table1351452010[[#This Row],[ต้นทุนค่าขายอุปกรณ์]],SUM(Table1351452010[[#This Row],[ค่าขายอุปกรณ์]]-Table1351452010[[#This Row],[ต้นทุนค่าขายอุปกรณ์]])*$M$4,0)</f>
        <v>0</v>
      </c>
      <c r="N63" s="541">
        <f>SUM(Table1351452010[[#This Row],[คอมฯอุปกรณ์
 5%]:[คอมฯ อุปกรณ์
25%]])</f>
        <v>0</v>
      </c>
      <c r="O63" s="267"/>
      <c r="P63" s="267"/>
      <c r="Q63"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3" s="248">
        <f>SUM(Table1351452010[[#This Row],[Total
รายการเบิก
คอมขาย]],Table1351452010[[#This Row],[Total
คอมฯ อุปกรณ์]])+Table1351452010[[#This Row],[Total 
คอมฯค่าติดตั้ง/ค่าเชื่อมสัญญาณ]]</f>
        <v>0</v>
      </c>
      <c r="S63" s="268"/>
      <c r="T63" s="268"/>
      <c r="U63" s="269"/>
    </row>
    <row r="64" spans="1:22" s="250" customFormat="1" ht="27" hidden="1" customHeight="1">
      <c r="A64" s="275"/>
      <c r="B64" s="288"/>
      <c r="C64" s="20"/>
      <c r="D64" s="41"/>
      <c r="E64" s="41"/>
      <c r="F64" s="41"/>
      <c r="G64" s="44"/>
      <c r="H64" s="254"/>
      <c r="I64" s="542"/>
      <c r="J64" s="150"/>
      <c r="K64" s="151"/>
      <c r="L64" s="255"/>
      <c r="M64" s="256"/>
      <c r="N64" s="542"/>
      <c r="O64" s="50"/>
      <c r="P64" s="50"/>
      <c r="Q64" s="542"/>
      <c r="R64" s="257" t="s">
        <v>108</v>
      </c>
      <c r="S64" s="395"/>
      <c r="T64" s="396"/>
      <c r="U64" s="272"/>
      <c r="V64" s="3"/>
    </row>
    <row r="65" spans="1:22" s="250" customFormat="1" ht="27" hidden="1" customHeight="1" thickBot="1">
      <c r="A65" s="276"/>
      <c r="B65" s="289"/>
      <c r="C65" s="284"/>
      <c r="D65" s="285"/>
      <c r="E65" s="39"/>
      <c r="F65" s="41"/>
      <c r="G65" s="44"/>
      <c r="H65" s="262"/>
      <c r="I65" s="543"/>
      <c r="J65" s="41"/>
      <c r="K65" s="41"/>
      <c r="L65" s="256"/>
      <c r="M65" s="256"/>
      <c r="N65" s="543"/>
      <c r="O65" s="51"/>
      <c r="P65" s="51"/>
      <c r="Q65" s="543"/>
      <c r="R65" s="263"/>
      <c r="S65" s="132"/>
      <c r="T65" s="271"/>
      <c r="U65" s="264"/>
      <c r="V65" s="3"/>
    </row>
    <row r="66" spans="1:22" s="3" customFormat="1" ht="27.45" hidden="1" customHeight="1">
      <c r="A66" s="274">
        <v>18</v>
      </c>
      <c r="B66" s="290"/>
      <c r="C66" s="19"/>
      <c r="D66" s="32"/>
      <c r="E66" s="32"/>
      <c r="F66" s="278"/>
      <c r="G66" s="394"/>
      <c r="H66" s="245"/>
      <c r="I66" s="541">
        <f>Table1351452010[[#This Row],[ค่าบริการรายเดือนตาม Package]]+Table1351452010[[#This Row],[รายการเบิก
คอมขายเพิ่มเติม
(เป้าตามกำหนด)
100-200%]]</f>
        <v>0</v>
      </c>
      <c r="J66" s="40"/>
      <c r="K66" s="278"/>
      <c r="L66" s="279">
        <f>IF(Table1351452010[[#This Row],[ค่าขายอุปกรณ์]]&gt;Table1351452010[[#This Row],[ต้นทุนค่าขายอุปกรณ์]],Table1351452010[[#This Row],[ต้นทุนค่าขายอุปกรณ์]]*$L$4,Table1351452010[[#This Row],[ค่าขายอุปกรณ์]]*$L$4)</f>
        <v>0</v>
      </c>
      <c r="M66" s="280">
        <f>IF(Table1351452010[[#This Row],[ค่าขายอุปกรณ์]]&gt;Table1351452010[[#This Row],[ต้นทุนค่าขายอุปกรณ์]],SUM(Table1351452010[[#This Row],[ค่าขายอุปกรณ์]]-Table1351452010[[#This Row],[ต้นทุนค่าขายอุปกรณ์]])*$M$4,0)</f>
        <v>0</v>
      </c>
      <c r="N66" s="541">
        <f>SUM(Table1351452010[[#This Row],[คอมฯอุปกรณ์
 5%]:[คอมฯ อุปกรณ์
25%]])</f>
        <v>0</v>
      </c>
      <c r="O66" s="267"/>
      <c r="P66" s="267"/>
      <c r="Q66"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6" s="248">
        <f>SUM(Table1351452010[[#This Row],[Total
รายการเบิก
คอมขาย]],Table1351452010[[#This Row],[Total
คอมฯ อุปกรณ์]])+Table1351452010[[#This Row],[Total 
คอมฯค่าติดตั้ง/ค่าเชื่อมสัญญาณ]]</f>
        <v>0</v>
      </c>
      <c r="S66" s="268"/>
      <c r="T66" s="268"/>
      <c r="U66" s="269"/>
    </row>
    <row r="67" spans="1:22" s="250" customFormat="1" ht="27" hidden="1" customHeight="1">
      <c r="A67" s="275"/>
      <c r="B67" s="288"/>
      <c r="C67" s="20"/>
      <c r="D67" s="41"/>
      <c r="E67" s="41"/>
      <c r="F67" s="41"/>
      <c r="G67" s="44"/>
      <c r="H67" s="254"/>
      <c r="I67" s="542"/>
      <c r="J67" s="150"/>
      <c r="K67" s="151"/>
      <c r="L67" s="255"/>
      <c r="M67" s="256"/>
      <c r="N67" s="542"/>
      <c r="O67" s="50"/>
      <c r="P67" s="50"/>
      <c r="Q67" s="542"/>
      <c r="R67" s="257" t="s">
        <v>108</v>
      </c>
      <c r="S67" s="132"/>
      <c r="T67" s="271"/>
      <c r="U67" s="272"/>
      <c r="V67" s="3"/>
    </row>
    <row r="68" spans="1:22" s="250" customFormat="1" ht="27" hidden="1" customHeight="1" thickBot="1">
      <c r="A68" s="276"/>
      <c r="B68" s="289"/>
      <c r="C68" s="284"/>
      <c r="D68" s="285"/>
      <c r="E68" s="39"/>
      <c r="F68" s="41"/>
      <c r="G68" s="44"/>
      <c r="H68" s="262"/>
      <c r="I68" s="543"/>
      <c r="J68" s="41"/>
      <c r="K68" s="41"/>
      <c r="L68" s="256"/>
      <c r="M68" s="256"/>
      <c r="N68" s="543"/>
      <c r="O68" s="51"/>
      <c r="P68" s="51"/>
      <c r="Q68" s="543"/>
      <c r="R68" s="263"/>
      <c r="S68" s="132"/>
      <c r="T68" s="271"/>
      <c r="U68" s="264"/>
      <c r="V68" s="3"/>
    </row>
    <row r="69" spans="1:22" s="3" customFormat="1" ht="27.45" hidden="1" customHeight="1">
      <c r="A69" s="274">
        <v>19</v>
      </c>
      <c r="B69" s="290"/>
      <c r="C69" s="19"/>
      <c r="D69" s="32"/>
      <c r="E69" s="32"/>
      <c r="F69" s="278"/>
      <c r="G69" s="52"/>
      <c r="H69" s="245"/>
      <c r="I69" s="541">
        <f>Table1351452010[[#This Row],[ค่าบริการรายเดือนตาม Package]]+Table1351452010[[#This Row],[รายการเบิก
คอมขายเพิ่มเติม
(เป้าตามกำหนด)
100-200%]]</f>
        <v>0</v>
      </c>
      <c r="J69" s="40"/>
      <c r="K69" s="278"/>
      <c r="L69" s="279">
        <f>IF(Table1351452010[[#This Row],[ค่าขายอุปกรณ์]]&gt;Table1351452010[[#This Row],[ต้นทุนค่าขายอุปกรณ์]],Table1351452010[[#This Row],[ต้นทุนค่าขายอุปกรณ์]]*$L$4,Table1351452010[[#This Row],[ค่าขายอุปกรณ์]]*$L$4)</f>
        <v>0</v>
      </c>
      <c r="M69" s="280">
        <f>IF(Table1351452010[[#This Row],[ค่าขายอุปกรณ์]]&gt;Table1351452010[[#This Row],[ต้นทุนค่าขายอุปกรณ์]],SUM(Table1351452010[[#This Row],[ค่าขายอุปกรณ์]]-Table1351452010[[#This Row],[ต้นทุนค่าขายอุปกรณ์]])*$M$4,0)</f>
        <v>0</v>
      </c>
      <c r="N69" s="541">
        <f>SUM(Table1351452010[[#This Row],[คอมฯอุปกรณ์
 5%]:[คอมฯ อุปกรณ์
25%]])</f>
        <v>0</v>
      </c>
      <c r="O69" s="267"/>
      <c r="P69" s="267"/>
      <c r="Q69"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9" s="248">
        <f>SUM(Table1351452010[[#This Row],[Total
รายการเบิก
คอมขาย]],Table1351452010[[#This Row],[Total
คอมฯ อุปกรณ์]])+Table1351452010[[#This Row],[Total 
คอมฯค่าติดตั้ง/ค่าเชื่อมสัญญาณ]]</f>
        <v>0</v>
      </c>
      <c r="S69" s="268"/>
      <c r="T69" s="268"/>
      <c r="U69" s="269"/>
    </row>
    <row r="70" spans="1:22" s="250" customFormat="1" ht="27" hidden="1" customHeight="1">
      <c r="A70" s="275"/>
      <c r="B70" s="288"/>
      <c r="C70" s="20"/>
      <c r="D70" s="41"/>
      <c r="E70" s="41"/>
      <c r="F70" s="41"/>
      <c r="G70" s="44"/>
      <c r="H70" s="254"/>
      <c r="I70" s="542"/>
      <c r="J70" s="150"/>
      <c r="K70" s="151"/>
      <c r="L70" s="255"/>
      <c r="M70" s="256"/>
      <c r="N70" s="542"/>
      <c r="O70" s="50"/>
      <c r="P70" s="50"/>
      <c r="Q70" s="542"/>
      <c r="R70" s="257" t="s">
        <v>108</v>
      </c>
      <c r="S70" s="132"/>
      <c r="T70" s="271"/>
      <c r="U70" s="272"/>
      <c r="V70" s="3"/>
    </row>
    <row r="71" spans="1:22" s="250" customFormat="1" ht="27" hidden="1" customHeight="1" thickBot="1">
      <c r="A71" s="276"/>
      <c r="B71" s="289"/>
      <c r="C71" s="284"/>
      <c r="D71" s="285"/>
      <c r="E71" s="39"/>
      <c r="F71" s="41"/>
      <c r="G71" s="44"/>
      <c r="H71" s="262"/>
      <c r="I71" s="543"/>
      <c r="J71" s="41"/>
      <c r="K71" s="41"/>
      <c r="L71" s="256"/>
      <c r="M71" s="256"/>
      <c r="N71" s="543"/>
      <c r="O71" s="51"/>
      <c r="P71" s="51"/>
      <c r="Q71" s="543"/>
      <c r="R71" s="263"/>
      <c r="S71" s="132"/>
      <c r="T71" s="271"/>
      <c r="U71" s="264"/>
      <c r="V71" s="3"/>
    </row>
    <row r="72" spans="1:22" s="3" customFormat="1" ht="27.45" hidden="1" customHeight="1">
      <c r="A72" s="274">
        <v>20</v>
      </c>
      <c r="B72" s="290"/>
      <c r="C72" s="19"/>
      <c r="D72" s="32"/>
      <c r="E72" s="32"/>
      <c r="F72" s="278"/>
      <c r="G72" s="394"/>
      <c r="H72" s="245"/>
      <c r="I72" s="541">
        <f>Table1351452010[[#This Row],[ค่าบริการรายเดือนตาม Package]]+Table1351452010[[#This Row],[รายการเบิก
คอมขายเพิ่มเติม
(เป้าตามกำหนด)
100-200%]]</f>
        <v>0</v>
      </c>
      <c r="J72" s="40"/>
      <c r="K72" s="278"/>
      <c r="L72" s="279">
        <f>IF(Table1351452010[[#This Row],[ค่าขายอุปกรณ์]]&gt;Table1351452010[[#This Row],[ต้นทุนค่าขายอุปกรณ์]],Table1351452010[[#This Row],[ต้นทุนค่าขายอุปกรณ์]]*$L$4,Table1351452010[[#This Row],[ค่าขายอุปกรณ์]]*$L$4)</f>
        <v>0</v>
      </c>
      <c r="M72" s="280">
        <f>IF(Table1351452010[[#This Row],[ค่าขายอุปกรณ์]]&gt;Table1351452010[[#This Row],[ต้นทุนค่าขายอุปกรณ์]],SUM(Table1351452010[[#This Row],[ค่าขายอุปกรณ์]]-Table1351452010[[#This Row],[ต้นทุนค่าขายอุปกรณ์]])*$M$4,0)</f>
        <v>0</v>
      </c>
      <c r="N72" s="541">
        <f>SUM(Table1351452010[[#This Row],[คอมฯอุปกรณ์
 5%]:[คอมฯ อุปกรณ์
25%]])</f>
        <v>0</v>
      </c>
      <c r="O72" s="267"/>
      <c r="P72" s="267"/>
      <c r="Q72"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2" s="248">
        <f>SUM(Table1351452010[[#This Row],[Total
รายการเบิก
คอมขาย]],Table1351452010[[#This Row],[Total
คอมฯ อุปกรณ์]])+Table1351452010[[#This Row],[Total 
คอมฯค่าติดตั้ง/ค่าเชื่อมสัญญาณ]]</f>
        <v>0</v>
      </c>
      <c r="S72" s="268"/>
      <c r="T72" s="268"/>
      <c r="U72" s="269"/>
    </row>
    <row r="73" spans="1:22" s="250" customFormat="1" ht="27" hidden="1" customHeight="1">
      <c r="A73" s="275"/>
      <c r="B73" s="288"/>
      <c r="C73" s="20"/>
      <c r="D73" s="41"/>
      <c r="E73" s="41"/>
      <c r="F73" s="41"/>
      <c r="G73" s="44"/>
      <c r="H73" s="254"/>
      <c r="I73" s="542"/>
      <c r="J73" s="150"/>
      <c r="K73" s="151"/>
      <c r="L73" s="255"/>
      <c r="M73" s="256"/>
      <c r="N73" s="542"/>
      <c r="O73" s="50"/>
      <c r="P73" s="50"/>
      <c r="Q73" s="542"/>
      <c r="R73" s="257" t="s">
        <v>108</v>
      </c>
      <c r="S73" s="132"/>
      <c r="T73" s="271"/>
      <c r="U73" s="272"/>
      <c r="V73" s="3"/>
    </row>
    <row r="74" spans="1:22" s="250" customFormat="1" ht="27" hidden="1" customHeight="1" thickBot="1">
      <c r="A74" s="276"/>
      <c r="B74" s="289"/>
      <c r="C74" s="284"/>
      <c r="D74" s="285"/>
      <c r="E74" s="39"/>
      <c r="F74" s="41"/>
      <c r="G74" s="44"/>
      <c r="H74" s="262"/>
      <c r="I74" s="543"/>
      <c r="J74" s="41"/>
      <c r="K74" s="41"/>
      <c r="L74" s="256"/>
      <c r="M74" s="256"/>
      <c r="N74" s="543"/>
      <c r="O74" s="51"/>
      <c r="P74" s="51"/>
      <c r="Q74" s="543"/>
      <c r="R74" s="263"/>
      <c r="S74" s="132"/>
      <c r="T74" s="271"/>
      <c r="U74" s="264"/>
      <c r="V74" s="3"/>
    </row>
    <row r="75" spans="1:22" s="3" customFormat="1" ht="27.45" hidden="1" customHeight="1">
      <c r="A75" s="274">
        <v>21</v>
      </c>
      <c r="B75" s="290"/>
      <c r="C75" s="19"/>
      <c r="D75" s="32"/>
      <c r="E75" s="32"/>
      <c r="F75" s="278"/>
      <c r="G75" s="52"/>
      <c r="H75" s="245"/>
      <c r="I75" s="541">
        <f>Table1351452010[[#This Row],[ค่าบริการรายเดือนตาม Package]]+Table1351452010[[#This Row],[รายการเบิก
คอมขายเพิ่มเติม
(เป้าตามกำหนด)
100-200%]]</f>
        <v>0</v>
      </c>
      <c r="J75" s="40"/>
      <c r="K75" s="278"/>
      <c r="L75" s="279">
        <f>IF(Table1351452010[[#This Row],[ค่าขายอุปกรณ์]]&gt;Table1351452010[[#This Row],[ต้นทุนค่าขายอุปกรณ์]],Table1351452010[[#This Row],[ต้นทุนค่าขายอุปกรณ์]]*$L$4,Table1351452010[[#This Row],[ค่าขายอุปกรณ์]]*$L$4)</f>
        <v>0</v>
      </c>
      <c r="M75" s="280">
        <f>IF(Table1351452010[[#This Row],[ค่าขายอุปกรณ์]]&gt;Table1351452010[[#This Row],[ต้นทุนค่าขายอุปกรณ์]],SUM(Table1351452010[[#This Row],[ค่าขายอุปกรณ์]]-Table1351452010[[#This Row],[ต้นทุนค่าขายอุปกรณ์]])*$M$4,0)</f>
        <v>0</v>
      </c>
      <c r="N75" s="541">
        <f>SUM(Table1351452010[[#This Row],[คอมฯอุปกรณ์
 5%]:[คอมฯ อุปกรณ์
25%]])</f>
        <v>0</v>
      </c>
      <c r="O75" s="267"/>
      <c r="P75" s="267"/>
      <c r="Q75"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5" s="248">
        <f>SUM(Table1351452010[[#This Row],[Total
รายการเบิก
คอมขาย]],Table1351452010[[#This Row],[Total
คอมฯ อุปกรณ์]])+Table1351452010[[#This Row],[Total 
คอมฯค่าติดตั้ง/ค่าเชื่อมสัญญาณ]]</f>
        <v>0</v>
      </c>
      <c r="S75" s="268"/>
      <c r="T75" s="268"/>
      <c r="U75" s="269"/>
    </row>
    <row r="76" spans="1:22" s="250" customFormat="1" ht="27" hidden="1" customHeight="1">
      <c r="A76" s="275"/>
      <c r="B76" s="288"/>
      <c r="C76" s="20"/>
      <c r="D76" s="41"/>
      <c r="E76" s="41"/>
      <c r="F76" s="41"/>
      <c r="G76" s="44"/>
      <c r="H76" s="254"/>
      <c r="I76" s="542"/>
      <c r="J76" s="150"/>
      <c r="K76" s="151"/>
      <c r="L76" s="255"/>
      <c r="M76" s="256"/>
      <c r="N76" s="542"/>
      <c r="O76" s="50"/>
      <c r="P76" s="50"/>
      <c r="Q76" s="542"/>
      <c r="R76" s="257" t="s">
        <v>108</v>
      </c>
      <c r="S76" s="132"/>
      <c r="T76" s="271"/>
      <c r="U76" s="272"/>
      <c r="V76" s="3"/>
    </row>
    <row r="77" spans="1:22" s="250" customFormat="1" ht="27" hidden="1" customHeight="1" thickBot="1">
      <c r="A77" s="276"/>
      <c r="B77" s="289"/>
      <c r="C77" s="284"/>
      <c r="D77" s="285"/>
      <c r="E77" s="39"/>
      <c r="F77" s="41"/>
      <c r="G77" s="44"/>
      <c r="H77" s="262"/>
      <c r="I77" s="543"/>
      <c r="J77" s="41"/>
      <c r="K77" s="41"/>
      <c r="L77" s="256"/>
      <c r="M77" s="256"/>
      <c r="N77" s="543"/>
      <c r="O77" s="51"/>
      <c r="P77" s="51"/>
      <c r="Q77" s="543"/>
      <c r="R77" s="263"/>
      <c r="S77" s="132"/>
      <c r="T77" s="271"/>
      <c r="U77" s="264"/>
      <c r="V77" s="3"/>
    </row>
    <row r="78" spans="1:22" s="3" customFormat="1" ht="27.45" hidden="1" customHeight="1">
      <c r="A78" s="274">
        <v>22</v>
      </c>
      <c r="B78" s="290"/>
      <c r="C78" s="19"/>
      <c r="D78" s="32"/>
      <c r="E78" s="32"/>
      <c r="F78" s="278"/>
      <c r="G78" s="394"/>
      <c r="H78" s="245"/>
      <c r="I78" s="541">
        <f>Table1351452010[[#This Row],[ค่าบริการรายเดือนตาม Package]]+Table1351452010[[#This Row],[รายการเบิก
คอมขายเพิ่มเติม
(เป้าตามกำหนด)
100-200%]]</f>
        <v>0</v>
      </c>
      <c r="J78" s="40"/>
      <c r="K78" s="278"/>
      <c r="L78" s="279">
        <f>IF(Table1351452010[[#This Row],[ค่าขายอุปกรณ์]]&gt;Table1351452010[[#This Row],[ต้นทุนค่าขายอุปกรณ์]],Table1351452010[[#This Row],[ต้นทุนค่าขายอุปกรณ์]]*$L$4,Table1351452010[[#This Row],[ค่าขายอุปกรณ์]]*$L$4)</f>
        <v>0</v>
      </c>
      <c r="M78" s="280">
        <f>IF(Table1351452010[[#This Row],[ค่าขายอุปกรณ์]]&gt;Table1351452010[[#This Row],[ต้นทุนค่าขายอุปกรณ์]],SUM(Table1351452010[[#This Row],[ค่าขายอุปกรณ์]]-Table1351452010[[#This Row],[ต้นทุนค่าขายอุปกรณ์]])*$M$4,0)</f>
        <v>0</v>
      </c>
      <c r="N78" s="541">
        <f>SUM(Table1351452010[[#This Row],[คอมฯอุปกรณ์
 5%]:[คอมฯ อุปกรณ์
25%]])</f>
        <v>0</v>
      </c>
      <c r="O78" s="267"/>
      <c r="P78" s="267"/>
      <c r="Q78"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8" s="248">
        <f>SUM(Table1351452010[[#This Row],[Total
รายการเบิก
คอมขาย]],Table1351452010[[#This Row],[Total
คอมฯ อุปกรณ์]])+Table1351452010[[#This Row],[Total 
คอมฯค่าติดตั้ง/ค่าเชื่อมสัญญาณ]]</f>
        <v>0</v>
      </c>
      <c r="S78" s="268"/>
      <c r="T78" s="268"/>
      <c r="U78" s="269"/>
    </row>
    <row r="79" spans="1:22" s="250" customFormat="1" ht="27" hidden="1" customHeight="1">
      <c r="A79" s="275"/>
      <c r="B79" s="288"/>
      <c r="C79" s="20"/>
      <c r="D79" s="41"/>
      <c r="E79" s="41"/>
      <c r="F79" s="41"/>
      <c r="G79" s="44"/>
      <c r="H79" s="254"/>
      <c r="I79" s="542"/>
      <c r="J79" s="150"/>
      <c r="K79" s="151"/>
      <c r="L79" s="255"/>
      <c r="M79" s="256"/>
      <c r="N79" s="542"/>
      <c r="O79" s="50"/>
      <c r="P79" s="50"/>
      <c r="Q79" s="542"/>
      <c r="R79" s="257" t="s">
        <v>108</v>
      </c>
      <c r="S79" s="132"/>
      <c r="T79" s="271"/>
      <c r="U79" s="272"/>
      <c r="V79" s="3"/>
    </row>
    <row r="80" spans="1:22" s="250" customFormat="1" ht="27" hidden="1" customHeight="1" thickBot="1">
      <c r="A80" s="276"/>
      <c r="B80" s="289"/>
      <c r="C80" s="284"/>
      <c r="D80" s="285"/>
      <c r="E80" s="39"/>
      <c r="F80" s="41"/>
      <c r="G80" s="44"/>
      <c r="H80" s="262"/>
      <c r="I80" s="543"/>
      <c r="J80" s="41"/>
      <c r="K80" s="41"/>
      <c r="L80" s="256"/>
      <c r="M80" s="256"/>
      <c r="N80" s="543"/>
      <c r="O80" s="51"/>
      <c r="P80" s="51"/>
      <c r="Q80" s="543"/>
      <c r="R80" s="263"/>
      <c r="S80" s="132"/>
      <c r="T80" s="271"/>
      <c r="U80" s="264"/>
      <c r="V80" s="3"/>
    </row>
    <row r="81" spans="1:23" s="3" customFormat="1" ht="27.45" hidden="1" customHeight="1">
      <c r="A81" s="274">
        <v>23</v>
      </c>
      <c r="B81" s="290"/>
      <c r="C81" s="19"/>
      <c r="D81" s="32"/>
      <c r="E81" s="32"/>
      <c r="F81" s="278"/>
      <c r="G81" s="52"/>
      <c r="H81" s="245"/>
      <c r="I81" s="541">
        <f>Table1351452010[[#This Row],[ค่าบริการรายเดือนตาม Package]]+Table1351452010[[#This Row],[รายการเบิก
คอมขายเพิ่มเติม
(เป้าตามกำหนด)
100-200%]]</f>
        <v>0</v>
      </c>
      <c r="J81" s="40"/>
      <c r="K81" s="278"/>
      <c r="L81" s="279">
        <f>IF(Table1351452010[[#This Row],[ค่าขายอุปกรณ์]]&gt;Table1351452010[[#This Row],[ต้นทุนค่าขายอุปกรณ์]],Table1351452010[[#This Row],[ต้นทุนค่าขายอุปกรณ์]]*$L$4,Table1351452010[[#This Row],[ค่าขายอุปกรณ์]]*$L$4)</f>
        <v>0</v>
      </c>
      <c r="M81" s="280">
        <f>IF(Table1351452010[[#This Row],[ค่าขายอุปกรณ์]]&gt;Table1351452010[[#This Row],[ต้นทุนค่าขายอุปกรณ์]],SUM(Table1351452010[[#This Row],[ค่าขายอุปกรณ์]]-Table1351452010[[#This Row],[ต้นทุนค่าขายอุปกรณ์]])*$M$4,0)</f>
        <v>0</v>
      </c>
      <c r="N81" s="541">
        <f>SUM(Table1351452010[[#This Row],[คอมฯอุปกรณ์
 5%]:[คอมฯ อุปกรณ์
25%]])</f>
        <v>0</v>
      </c>
      <c r="O81" s="267"/>
      <c r="P81" s="267"/>
      <c r="Q81"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81" s="248">
        <f>SUM(Table1351452010[[#This Row],[Total
รายการเบิก
คอมขาย]],Table1351452010[[#This Row],[Total
คอมฯ อุปกรณ์]])+Table1351452010[[#This Row],[Total 
คอมฯค่าติดตั้ง/ค่าเชื่อมสัญญาณ]]</f>
        <v>0</v>
      </c>
      <c r="S81" s="268"/>
      <c r="T81" s="268"/>
      <c r="U81" s="269"/>
    </row>
    <row r="82" spans="1:23" s="250" customFormat="1" ht="27" hidden="1" customHeight="1">
      <c r="A82" s="275"/>
      <c r="B82" s="288"/>
      <c r="C82" s="20"/>
      <c r="D82" s="41"/>
      <c r="E82" s="41"/>
      <c r="F82" s="41"/>
      <c r="G82" s="44"/>
      <c r="H82" s="254"/>
      <c r="I82" s="542"/>
      <c r="J82" s="150"/>
      <c r="K82" s="151"/>
      <c r="L82" s="255"/>
      <c r="M82" s="256"/>
      <c r="N82" s="542"/>
      <c r="O82" s="50"/>
      <c r="P82" s="50"/>
      <c r="Q82" s="542"/>
      <c r="R82" s="257" t="s">
        <v>108</v>
      </c>
      <c r="S82" s="132"/>
      <c r="T82" s="271"/>
      <c r="U82" s="272"/>
      <c r="V82" s="3"/>
    </row>
    <row r="83" spans="1:23" s="250" customFormat="1" ht="27" hidden="1" customHeight="1" thickBot="1">
      <c r="A83" s="276"/>
      <c r="B83" s="289"/>
      <c r="C83" s="284"/>
      <c r="D83" s="285"/>
      <c r="E83" s="39"/>
      <c r="F83" s="41"/>
      <c r="G83" s="44"/>
      <c r="H83" s="262"/>
      <c r="I83" s="543"/>
      <c r="J83" s="41"/>
      <c r="K83" s="41"/>
      <c r="L83" s="256"/>
      <c r="M83" s="256"/>
      <c r="N83" s="543"/>
      <c r="O83" s="51"/>
      <c r="P83" s="51"/>
      <c r="Q83" s="543"/>
      <c r="R83" s="263"/>
      <c r="S83" s="132"/>
      <c r="T83" s="271"/>
      <c r="U83" s="264"/>
      <c r="V83" s="3"/>
    </row>
    <row r="84" spans="1:23" s="3" customFormat="1" ht="27.45" hidden="1" customHeight="1">
      <c r="A84" s="274">
        <v>24</v>
      </c>
      <c r="B84" s="291"/>
      <c r="C84" s="19"/>
      <c r="D84" s="32"/>
      <c r="E84" s="32"/>
      <c r="F84" s="278"/>
      <c r="G84" s="52"/>
      <c r="H84" s="245"/>
      <c r="I84" s="541">
        <f>Table1351452010[[#This Row],[ค่าบริการรายเดือนตาม Package]]+Table1351452010[[#This Row],[รายการเบิก
คอมขายเพิ่มเติม
(เป้าตามกำหนด)
100-200%]]</f>
        <v>0</v>
      </c>
      <c r="J84" s="40"/>
      <c r="K84" s="278"/>
      <c r="L84" s="279">
        <f>IF(Table1351452010[[#This Row],[ค่าขายอุปกรณ์]]&gt;Table1351452010[[#This Row],[ต้นทุนค่าขายอุปกรณ์]],Table1351452010[[#This Row],[ต้นทุนค่าขายอุปกรณ์]]*$L$4,Table1351452010[[#This Row],[ค่าขายอุปกรณ์]]*$L$4)</f>
        <v>0</v>
      </c>
      <c r="M84" s="280">
        <f>IF(Table1351452010[[#This Row],[ค่าขายอุปกรณ์]]&gt;Table1351452010[[#This Row],[ต้นทุนค่าขายอุปกรณ์]],SUM(Table1351452010[[#This Row],[ค่าขายอุปกรณ์]]-Table1351452010[[#This Row],[ต้นทุนค่าขายอุปกรณ์]])*$M$4,0)</f>
        <v>0</v>
      </c>
      <c r="N84" s="541">
        <f>SUM(Table1351452010[[#This Row],[คอมฯอุปกรณ์
 5%]:[คอมฯ อุปกรณ์
25%]])</f>
        <v>0</v>
      </c>
      <c r="O84" s="267"/>
      <c r="P84" s="267"/>
      <c r="Q84" s="545">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84" s="248">
        <f>SUM(Table1351452010[[#This Row],[Total
รายการเบิก
คอมขาย]],Table1351452010[[#This Row],[Total
คอมฯ อุปกรณ์]])+Table1351452010[[#This Row],[Total 
คอมฯค่าติดตั้ง/ค่าเชื่อมสัญญาณ]]</f>
        <v>0</v>
      </c>
      <c r="S84" s="268"/>
      <c r="T84" s="268"/>
      <c r="U84" s="269"/>
    </row>
    <row r="85" spans="1:23" s="250" customFormat="1" ht="27" hidden="1" customHeight="1">
      <c r="A85" s="275">
        <v>8.1</v>
      </c>
      <c r="B85" s="288"/>
      <c r="C85" s="20"/>
      <c r="D85" s="41"/>
      <c r="E85" s="41"/>
      <c r="F85" s="41"/>
      <c r="G85" s="44"/>
      <c r="H85" s="254"/>
      <c r="I85" s="542"/>
      <c r="J85" s="150"/>
      <c r="K85" s="151"/>
      <c r="L85" s="255"/>
      <c r="M85" s="256"/>
      <c r="N85" s="542"/>
      <c r="O85" s="50"/>
      <c r="P85" s="50"/>
      <c r="Q85" s="542"/>
      <c r="R85" s="257" t="s">
        <v>108</v>
      </c>
      <c r="S85" s="132"/>
      <c r="T85" s="271"/>
      <c r="U85" s="272"/>
      <c r="V85" s="3"/>
    </row>
    <row r="86" spans="1:23" s="250" customFormat="1" ht="27" hidden="1" customHeight="1" thickBot="1">
      <c r="A86" s="276">
        <v>8.1999999999999993</v>
      </c>
      <c r="B86" s="289"/>
      <c r="C86" s="284"/>
      <c r="D86" s="285"/>
      <c r="E86" s="39"/>
      <c r="F86" s="41"/>
      <c r="G86" s="44"/>
      <c r="H86" s="262"/>
      <c r="I86" s="543"/>
      <c r="J86" s="41"/>
      <c r="K86" s="41"/>
      <c r="L86" s="256"/>
      <c r="M86" s="256"/>
      <c r="N86" s="543"/>
      <c r="O86" s="51"/>
      <c r="P86" s="51"/>
      <c r="Q86" s="543"/>
      <c r="R86" s="263"/>
      <c r="S86" s="132"/>
      <c r="T86" s="271"/>
      <c r="U86" s="264"/>
      <c r="V86" s="3"/>
    </row>
    <row r="87" spans="1:23" s="8" customFormat="1" ht="28.5" customHeight="1" thickBot="1">
      <c r="A87" s="208"/>
      <c r="B87" s="208"/>
      <c r="C87" s="209" t="s">
        <v>5</v>
      </c>
      <c r="D87" s="209"/>
      <c r="E87" s="209"/>
      <c r="F87" s="210">
        <f>SUM(F6:F86)</f>
        <v>11356.07</v>
      </c>
      <c r="G87" s="210"/>
      <c r="H87" s="210">
        <f>SUM(H6:H86)</f>
        <v>0</v>
      </c>
      <c r="I87" s="544">
        <f t="shared" ref="I87:U87" si="0">SUM(I6:I86)</f>
        <v>11356.07</v>
      </c>
      <c r="J87" s="210">
        <f t="shared" si="0"/>
        <v>0</v>
      </c>
      <c r="K87" s="210">
        <f t="shared" si="0"/>
        <v>0</v>
      </c>
      <c r="L87" s="210">
        <f t="shared" si="0"/>
        <v>0</v>
      </c>
      <c r="M87" s="210">
        <f t="shared" si="0"/>
        <v>0</v>
      </c>
      <c r="N87" s="544">
        <f t="shared" si="0"/>
        <v>0</v>
      </c>
      <c r="O87" s="210">
        <f t="shared" si="0"/>
        <v>4000</v>
      </c>
      <c r="P87" s="210">
        <f t="shared" si="0"/>
        <v>3108.64</v>
      </c>
      <c r="Q87" s="544">
        <f t="shared" si="0"/>
        <v>222.84</v>
      </c>
      <c r="R87" s="211">
        <f t="shared" si="0"/>
        <v>11578.91</v>
      </c>
      <c r="S87" s="210">
        <f t="shared" si="0"/>
        <v>0</v>
      </c>
      <c r="T87" s="210">
        <f t="shared" si="0"/>
        <v>0</v>
      </c>
      <c r="U87" s="210">
        <f t="shared" si="0"/>
        <v>0</v>
      </c>
      <c r="W87" s="212"/>
    </row>
    <row r="88" spans="1:23" ht="28.5" customHeight="1" thickTop="1">
      <c r="R88" s="216"/>
      <c r="S88" s="217"/>
      <c r="T88" s="217"/>
      <c r="U88" s="218"/>
    </row>
    <row r="89" spans="1:23" ht="17.399999999999999">
      <c r="C89" s="215"/>
      <c r="D89" s="214"/>
      <c r="E89" s="214"/>
    </row>
    <row r="90" spans="1:23" ht="17.399999999999999">
      <c r="C90" s="220"/>
      <c r="D90" s="221"/>
      <c r="E90" s="221"/>
    </row>
    <row r="91" spans="1:23" ht="17.399999999999999"/>
  </sheetData>
  <sheetProtection formatCells="0" insertRows="0" insertHyperlinks="0" deleteRows="0" sort="0" autoFilter="0" pivotTables="0"/>
  <phoneticPr fontId="20" type="noConversion"/>
  <dataValidations count="3">
    <dataValidation type="list" allowBlank="1" showInputMessage="1" showErrorMessage="1" sqref="WMD983089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A65585:B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A131121:B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A196657:B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A262193:B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A327729:B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A393265:B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A458801:B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A524337:B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A589873:B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A655409:B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A720945:B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A786481:B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A852017:B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A917553:B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A983089:B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A2"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MV983093:WMV983122 AJ65589:AJ65618 KF65589:KF65618 UB65589:UB65618 ADX65589:ADX65618 ANT65589:ANT65618 AXP65589:AXP65618 BHL65589:BHL65618 BRH65589:BRH65618 CBD65589:CBD65618 CKZ65589:CKZ65618 CUV65589:CUV65618 DER65589:DER65618 DON65589:DON65618 DYJ65589:DYJ65618 EIF65589:EIF65618 ESB65589:ESB65618 FBX65589:FBX65618 FLT65589:FLT65618 FVP65589:FVP65618 GFL65589:GFL65618 GPH65589:GPH65618 GZD65589:GZD65618 HIZ65589:HIZ65618 HSV65589:HSV65618 ICR65589:ICR65618 IMN65589:IMN65618 IWJ65589:IWJ65618 JGF65589:JGF65618 JQB65589:JQB65618 JZX65589:JZX65618 KJT65589:KJT65618 KTP65589:KTP65618 LDL65589:LDL65618 LNH65589:LNH65618 LXD65589:LXD65618 MGZ65589:MGZ65618 MQV65589:MQV65618 NAR65589:NAR65618 NKN65589:NKN65618 NUJ65589:NUJ65618 OEF65589:OEF65618 OOB65589:OOB65618 OXX65589:OXX65618 PHT65589:PHT65618 PRP65589:PRP65618 QBL65589:QBL65618 QLH65589:QLH65618 QVD65589:QVD65618 REZ65589:REZ65618 ROV65589:ROV65618 RYR65589:RYR65618 SIN65589:SIN65618 SSJ65589:SSJ65618 TCF65589:TCF65618 TMB65589:TMB65618 TVX65589:TVX65618 UFT65589:UFT65618 UPP65589:UPP65618 UZL65589:UZL65618 VJH65589:VJH65618 VTD65589:VTD65618 WCZ65589:WCZ65618 WMV65589:WMV65618 AJ131125:AJ131154 KF131125:KF131154 UB131125:UB131154 ADX131125:ADX131154 ANT131125:ANT131154 AXP131125:AXP131154 BHL131125:BHL131154 BRH131125:BRH131154 CBD131125:CBD131154 CKZ131125:CKZ131154 CUV131125:CUV131154 DER131125:DER131154 DON131125:DON131154 DYJ131125:DYJ131154 EIF131125:EIF131154 ESB131125:ESB131154 FBX131125:FBX131154 FLT131125:FLT131154 FVP131125:FVP131154 GFL131125:GFL131154 GPH131125:GPH131154 GZD131125:GZD131154 HIZ131125:HIZ131154 HSV131125:HSV131154 ICR131125:ICR131154 IMN131125:IMN131154 IWJ131125:IWJ131154 JGF131125:JGF131154 JQB131125:JQB131154 JZX131125:JZX131154 KJT131125:KJT131154 KTP131125:KTP131154 LDL131125:LDL131154 LNH131125:LNH131154 LXD131125:LXD131154 MGZ131125:MGZ131154 MQV131125:MQV131154 NAR131125:NAR131154 NKN131125:NKN131154 NUJ131125:NUJ131154 OEF131125:OEF131154 OOB131125:OOB131154 OXX131125:OXX131154 PHT131125:PHT131154 PRP131125:PRP131154 QBL131125:QBL131154 QLH131125:QLH131154 QVD131125:QVD131154 REZ131125:REZ131154 ROV131125:ROV131154 RYR131125:RYR131154 SIN131125:SIN131154 SSJ131125:SSJ131154 TCF131125:TCF131154 TMB131125:TMB131154 TVX131125:TVX131154 UFT131125:UFT131154 UPP131125:UPP131154 UZL131125:UZL131154 VJH131125:VJH131154 VTD131125:VTD131154 WCZ131125:WCZ131154 WMV131125:WMV131154 AJ196661:AJ196690 KF196661:KF196690 UB196661:UB196690 ADX196661:ADX196690 ANT196661:ANT196690 AXP196661:AXP196690 BHL196661:BHL196690 BRH196661:BRH196690 CBD196661:CBD196690 CKZ196661:CKZ196690 CUV196661:CUV196690 DER196661:DER196690 DON196661:DON196690 DYJ196661:DYJ196690 EIF196661:EIF196690 ESB196661:ESB196690 FBX196661:FBX196690 FLT196661:FLT196690 FVP196661:FVP196690 GFL196661:GFL196690 GPH196661:GPH196690 GZD196661:GZD196690 HIZ196661:HIZ196690 HSV196661:HSV196690 ICR196661:ICR196690 IMN196661:IMN196690 IWJ196661:IWJ196690 JGF196661:JGF196690 JQB196661:JQB196690 JZX196661:JZX196690 KJT196661:KJT196690 KTP196661:KTP196690 LDL196661:LDL196690 LNH196661:LNH196690 LXD196661:LXD196690 MGZ196661:MGZ196690 MQV196661:MQV196690 NAR196661:NAR196690 NKN196661:NKN196690 NUJ196661:NUJ196690 OEF196661:OEF196690 OOB196661:OOB196690 OXX196661:OXX196690 PHT196661:PHT196690 PRP196661:PRP196690 QBL196661:QBL196690 QLH196661:QLH196690 QVD196661:QVD196690 REZ196661:REZ196690 ROV196661:ROV196690 RYR196661:RYR196690 SIN196661:SIN196690 SSJ196661:SSJ196690 TCF196661:TCF196690 TMB196661:TMB196690 TVX196661:TVX196690 UFT196661:UFT196690 UPP196661:UPP196690 UZL196661:UZL196690 VJH196661:VJH196690 VTD196661:VTD196690 WCZ196661:WCZ196690 WMV196661:WMV196690 AJ262197:AJ262226 KF262197:KF262226 UB262197:UB262226 ADX262197:ADX262226 ANT262197:ANT262226 AXP262197:AXP262226 BHL262197:BHL262226 BRH262197:BRH262226 CBD262197:CBD262226 CKZ262197:CKZ262226 CUV262197:CUV262226 DER262197:DER262226 DON262197:DON262226 DYJ262197:DYJ262226 EIF262197:EIF262226 ESB262197:ESB262226 FBX262197:FBX262226 FLT262197:FLT262226 FVP262197:FVP262226 GFL262197:GFL262226 GPH262197:GPH262226 GZD262197:GZD262226 HIZ262197:HIZ262226 HSV262197:HSV262226 ICR262197:ICR262226 IMN262197:IMN262226 IWJ262197:IWJ262226 JGF262197:JGF262226 JQB262197:JQB262226 JZX262197:JZX262226 KJT262197:KJT262226 KTP262197:KTP262226 LDL262197:LDL262226 LNH262197:LNH262226 LXD262197:LXD262226 MGZ262197:MGZ262226 MQV262197:MQV262226 NAR262197:NAR262226 NKN262197:NKN262226 NUJ262197:NUJ262226 OEF262197:OEF262226 OOB262197:OOB262226 OXX262197:OXX262226 PHT262197:PHT262226 PRP262197:PRP262226 QBL262197:QBL262226 QLH262197:QLH262226 QVD262197:QVD262226 REZ262197:REZ262226 ROV262197:ROV262226 RYR262197:RYR262226 SIN262197:SIN262226 SSJ262197:SSJ262226 TCF262197:TCF262226 TMB262197:TMB262226 TVX262197:TVX262226 UFT262197:UFT262226 UPP262197:UPP262226 UZL262197:UZL262226 VJH262197:VJH262226 VTD262197:VTD262226 WCZ262197:WCZ262226 WMV262197:WMV262226 AJ327733:AJ327762 KF327733:KF327762 UB327733:UB327762 ADX327733:ADX327762 ANT327733:ANT327762 AXP327733:AXP327762 BHL327733:BHL327762 BRH327733:BRH327762 CBD327733:CBD327762 CKZ327733:CKZ327762 CUV327733:CUV327762 DER327733:DER327762 DON327733:DON327762 DYJ327733:DYJ327762 EIF327733:EIF327762 ESB327733:ESB327762 FBX327733:FBX327762 FLT327733:FLT327762 FVP327733:FVP327762 GFL327733:GFL327762 GPH327733:GPH327762 GZD327733:GZD327762 HIZ327733:HIZ327762 HSV327733:HSV327762 ICR327733:ICR327762 IMN327733:IMN327762 IWJ327733:IWJ327762 JGF327733:JGF327762 JQB327733:JQB327762 JZX327733:JZX327762 KJT327733:KJT327762 KTP327733:KTP327762 LDL327733:LDL327762 LNH327733:LNH327762 LXD327733:LXD327762 MGZ327733:MGZ327762 MQV327733:MQV327762 NAR327733:NAR327762 NKN327733:NKN327762 NUJ327733:NUJ327762 OEF327733:OEF327762 OOB327733:OOB327762 OXX327733:OXX327762 PHT327733:PHT327762 PRP327733:PRP327762 QBL327733:QBL327762 QLH327733:QLH327762 QVD327733:QVD327762 REZ327733:REZ327762 ROV327733:ROV327762 RYR327733:RYR327762 SIN327733:SIN327762 SSJ327733:SSJ327762 TCF327733:TCF327762 TMB327733:TMB327762 TVX327733:TVX327762 UFT327733:UFT327762 UPP327733:UPP327762 UZL327733:UZL327762 VJH327733:VJH327762 VTD327733:VTD327762 WCZ327733:WCZ327762 WMV327733:WMV327762 AJ393269:AJ393298 KF393269:KF393298 UB393269:UB393298 ADX393269:ADX393298 ANT393269:ANT393298 AXP393269:AXP393298 BHL393269:BHL393298 BRH393269:BRH393298 CBD393269:CBD393298 CKZ393269:CKZ393298 CUV393269:CUV393298 DER393269:DER393298 DON393269:DON393298 DYJ393269:DYJ393298 EIF393269:EIF393298 ESB393269:ESB393298 FBX393269:FBX393298 FLT393269:FLT393298 FVP393269:FVP393298 GFL393269:GFL393298 GPH393269:GPH393298 GZD393269:GZD393298 HIZ393269:HIZ393298 HSV393269:HSV393298 ICR393269:ICR393298 IMN393269:IMN393298 IWJ393269:IWJ393298 JGF393269:JGF393298 JQB393269:JQB393298 JZX393269:JZX393298 KJT393269:KJT393298 KTP393269:KTP393298 LDL393269:LDL393298 LNH393269:LNH393298 LXD393269:LXD393298 MGZ393269:MGZ393298 MQV393269:MQV393298 NAR393269:NAR393298 NKN393269:NKN393298 NUJ393269:NUJ393298 OEF393269:OEF393298 OOB393269:OOB393298 OXX393269:OXX393298 PHT393269:PHT393298 PRP393269:PRP393298 QBL393269:QBL393298 QLH393269:QLH393298 QVD393269:QVD393298 REZ393269:REZ393298 ROV393269:ROV393298 RYR393269:RYR393298 SIN393269:SIN393298 SSJ393269:SSJ393298 TCF393269:TCF393298 TMB393269:TMB393298 TVX393269:TVX393298 UFT393269:UFT393298 UPP393269:UPP393298 UZL393269:UZL393298 VJH393269:VJH393298 VTD393269:VTD393298 WCZ393269:WCZ393298 WMV393269:WMV393298 AJ458805:AJ458834 KF458805:KF458834 UB458805:UB458834 ADX458805:ADX458834 ANT458805:ANT458834 AXP458805:AXP458834 BHL458805:BHL458834 BRH458805:BRH458834 CBD458805:CBD458834 CKZ458805:CKZ458834 CUV458805:CUV458834 DER458805:DER458834 DON458805:DON458834 DYJ458805:DYJ458834 EIF458805:EIF458834 ESB458805:ESB458834 FBX458805:FBX458834 FLT458805:FLT458834 FVP458805:FVP458834 GFL458805:GFL458834 GPH458805:GPH458834 GZD458805:GZD458834 HIZ458805:HIZ458834 HSV458805:HSV458834 ICR458805:ICR458834 IMN458805:IMN458834 IWJ458805:IWJ458834 JGF458805:JGF458834 JQB458805:JQB458834 JZX458805:JZX458834 KJT458805:KJT458834 KTP458805:KTP458834 LDL458805:LDL458834 LNH458805:LNH458834 LXD458805:LXD458834 MGZ458805:MGZ458834 MQV458805:MQV458834 NAR458805:NAR458834 NKN458805:NKN458834 NUJ458805:NUJ458834 OEF458805:OEF458834 OOB458805:OOB458834 OXX458805:OXX458834 PHT458805:PHT458834 PRP458805:PRP458834 QBL458805:QBL458834 QLH458805:QLH458834 QVD458805:QVD458834 REZ458805:REZ458834 ROV458805:ROV458834 RYR458805:RYR458834 SIN458805:SIN458834 SSJ458805:SSJ458834 TCF458805:TCF458834 TMB458805:TMB458834 TVX458805:TVX458834 UFT458805:UFT458834 UPP458805:UPP458834 UZL458805:UZL458834 VJH458805:VJH458834 VTD458805:VTD458834 WCZ458805:WCZ458834 WMV458805:WMV458834 AJ524341:AJ524370 KF524341:KF524370 UB524341:UB524370 ADX524341:ADX524370 ANT524341:ANT524370 AXP524341:AXP524370 BHL524341:BHL524370 BRH524341:BRH524370 CBD524341:CBD524370 CKZ524341:CKZ524370 CUV524341:CUV524370 DER524341:DER524370 DON524341:DON524370 DYJ524341:DYJ524370 EIF524341:EIF524370 ESB524341:ESB524370 FBX524341:FBX524370 FLT524341:FLT524370 FVP524341:FVP524370 GFL524341:GFL524370 GPH524341:GPH524370 GZD524341:GZD524370 HIZ524341:HIZ524370 HSV524341:HSV524370 ICR524341:ICR524370 IMN524341:IMN524370 IWJ524341:IWJ524370 JGF524341:JGF524370 JQB524341:JQB524370 JZX524341:JZX524370 KJT524341:KJT524370 KTP524341:KTP524370 LDL524341:LDL524370 LNH524341:LNH524370 LXD524341:LXD524370 MGZ524341:MGZ524370 MQV524341:MQV524370 NAR524341:NAR524370 NKN524341:NKN524370 NUJ524341:NUJ524370 OEF524341:OEF524370 OOB524341:OOB524370 OXX524341:OXX524370 PHT524341:PHT524370 PRP524341:PRP524370 QBL524341:QBL524370 QLH524341:QLH524370 QVD524341:QVD524370 REZ524341:REZ524370 ROV524341:ROV524370 RYR524341:RYR524370 SIN524341:SIN524370 SSJ524341:SSJ524370 TCF524341:TCF524370 TMB524341:TMB524370 TVX524341:TVX524370 UFT524341:UFT524370 UPP524341:UPP524370 UZL524341:UZL524370 VJH524341:VJH524370 VTD524341:VTD524370 WCZ524341:WCZ524370 WMV524341:WMV524370 AJ589877:AJ589906 KF589877:KF589906 UB589877:UB589906 ADX589877:ADX589906 ANT589877:ANT589906 AXP589877:AXP589906 BHL589877:BHL589906 BRH589877:BRH589906 CBD589877:CBD589906 CKZ589877:CKZ589906 CUV589877:CUV589906 DER589877:DER589906 DON589877:DON589906 DYJ589877:DYJ589906 EIF589877:EIF589906 ESB589877:ESB589906 FBX589877:FBX589906 FLT589877:FLT589906 FVP589877:FVP589906 GFL589877:GFL589906 GPH589877:GPH589906 GZD589877:GZD589906 HIZ589877:HIZ589906 HSV589877:HSV589906 ICR589877:ICR589906 IMN589877:IMN589906 IWJ589877:IWJ589906 JGF589877:JGF589906 JQB589877:JQB589906 JZX589877:JZX589906 KJT589877:KJT589906 KTP589877:KTP589906 LDL589877:LDL589906 LNH589877:LNH589906 LXD589877:LXD589906 MGZ589877:MGZ589906 MQV589877:MQV589906 NAR589877:NAR589906 NKN589877:NKN589906 NUJ589877:NUJ589906 OEF589877:OEF589906 OOB589877:OOB589906 OXX589877:OXX589906 PHT589877:PHT589906 PRP589877:PRP589906 QBL589877:QBL589906 QLH589877:QLH589906 QVD589877:QVD589906 REZ589877:REZ589906 ROV589877:ROV589906 RYR589877:RYR589906 SIN589877:SIN589906 SSJ589877:SSJ589906 TCF589877:TCF589906 TMB589877:TMB589906 TVX589877:TVX589906 UFT589877:UFT589906 UPP589877:UPP589906 UZL589877:UZL589906 VJH589877:VJH589906 VTD589877:VTD589906 WCZ589877:WCZ589906 WMV589877:WMV589906 AJ655413:AJ655442 KF655413:KF655442 UB655413:UB655442 ADX655413:ADX655442 ANT655413:ANT655442 AXP655413:AXP655442 BHL655413:BHL655442 BRH655413:BRH655442 CBD655413:CBD655442 CKZ655413:CKZ655442 CUV655413:CUV655442 DER655413:DER655442 DON655413:DON655442 DYJ655413:DYJ655442 EIF655413:EIF655442 ESB655413:ESB655442 FBX655413:FBX655442 FLT655413:FLT655442 FVP655413:FVP655442 GFL655413:GFL655442 GPH655413:GPH655442 GZD655413:GZD655442 HIZ655413:HIZ655442 HSV655413:HSV655442 ICR655413:ICR655442 IMN655413:IMN655442 IWJ655413:IWJ655442 JGF655413:JGF655442 JQB655413:JQB655442 JZX655413:JZX655442 KJT655413:KJT655442 KTP655413:KTP655442 LDL655413:LDL655442 LNH655413:LNH655442 LXD655413:LXD655442 MGZ655413:MGZ655442 MQV655413:MQV655442 NAR655413:NAR655442 NKN655413:NKN655442 NUJ655413:NUJ655442 OEF655413:OEF655442 OOB655413:OOB655442 OXX655413:OXX655442 PHT655413:PHT655442 PRP655413:PRP655442 QBL655413:QBL655442 QLH655413:QLH655442 QVD655413:QVD655442 REZ655413:REZ655442 ROV655413:ROV655442 RYR655413:RYR655442 SIN655413:SIN655442 SSJ655413:SSJ655442 TCF655413:TCF655442 TMB655413:TMB655442 TVX655413:TVX655442 UFT655413:UFT655442 UPP655413:UPP655442 UZL655413:UZL655442 VJH655413:VJH655442 VTD655413:VTD655442 WCZ655413:WCZ655442 WMV655413:WMV655442 AJ720949:AJ720978 KF720949:KF720978 UB720949:UB720978 ADX720949:ADX720978 ANT720949:ANT720978 AXP720949:AXP720978 BHL720949:BHL720978 BRH720949:BRH720978 CBD720949:CBD720978 CKZ720949:CKZ720978 CUV720949:CUV720978 DER720949:DER720978 DON720949:DON720978 DYJ720949:DYJ720978 EIF720949:EIF720978 ESB720949:ESB720978 FBX720949:FBX720978 FLT720949:FLT720978 FVP720949:FVP720978 GFL720949:GFL720978 GPH720949:GPH720978 GZD720949:GZD720978 HIZ720949:HIZ720978 HSV720949:HSV720978 ICR720949:ICR720978 IMN720949:IMN720978 IWJ720949:IWJ720978 JGF720949:JGF720978 JQB720949:JQB720978 JZX720949:JZX720978 KJT720949:KJT720978 KTP720949:KTP720978 LDL720949:LDL720978 LNH720949:LNH720978 LXD720949:LXD720978 MGZ720949:MGZ720978 MQV720949:MQV720978 NAR720949:NAR720978 NKN720949:NKN720978 NUJ720949:NUJ720978 OEF720949:OEF720978 OOB720949:OOB720978 OXX720949:OXX720978 PHT720949:PHT720978 PRP720949:PRP720978 QBL720949:QBL720978 QLH720949:QLH720978 QVD720949:QVD720978 REZ720949:REZ720978 ROV720949:ROV720978 RYR720949:RYR720978 SIN720949:SIN720978 SSJ720949:SSJ720978 TCF720949:TCF720978 TMB720949:TMB720978 TVX720949:TVX720978 UFT720949:UFT720978 UPP720949:UPP720978 UZL720949:UZL720978 VJH720949:VJH720978 VTD720949:VTD720978 WCZ720949:WCZ720978 WMV720949:WMV720978 AJ786485:AJ786514 KF786485:KF786514 UB786485:UB786514 ADX786485:ADX786514 ANT786485:ANT786514 AXP786485:AXP786514 BHL786485:BHL786514 BRH786485:BRH786514 CBD786485:CBD786514 CKZ786485:CKZ786514 CUV786485:CUV786514 DER786485:DER786514 DON786485:DON786514 DYJ786485:DYJ786514 EIF786485:EIF786514 ESB786485:ESB786514 FBX786485:FBX786514 FLT786485:FLT786514 FVP786485:FVP786514 GFL786485:GFL786514 GPH786485:GPH786514 GZD786485:GZD786514 HIZ786485:HIZ786514 HSV786485:HSV786514 ICR786485:ICR786514 IMN786485:IMN786514 IWJ786485:IWJ786514 JGF786485:JGF786514 JQB786485:JQB786514 JZX786485:JZX786514 KJT786485:KJT786514 KTP786485:KTP786514 LDL786485:LDL786514 LNH786485:LNH786514 LXD786485:LXD786514 MGZ786485:MGZ786514 MQV786485:MQV786514 NAR786485:NAR786514 NKN786485:NKN786514 NUJ786485:NUJ786514 OEF786485:OEF786514 OOB786485:OOB786514 OXX786485:OXX786514 PHT786485:PHT786514 PRP786485:PRP786514 QBL786485:QBL786514 QLH786485:QLH786514 QVD786485:QVD786514 REZ786485:REZ786514 ROV786485:ROV786514 RYR786485:RYR786514 SIN786485:SIN786514 SSJ786485:SSJ786514 TCF786485:TCF786514 TMB786485:TMB786514 TVX786485:TVX786514 UFT786485:UFT786514 UPP786485:UPP786514 UZL786485:UZL786514 VJH786485:VJH786514 VTD786485:VTD786514 WCZ786485:WCZ786514 WMV786485:WMV786514 AJ852021:AJ852050 KF852021:KF852050 UB852021:UB852050 ADX852021:ADX852050 ANT852021:ANT852050 AXP852021:AXP852050 BHL852021:BHL852050 BRH852021:BRH852050 CBD852021:CBD852050 CKZ852021:CKZ852050 CUV852021:CUV852050 DER852021:DER852050 DON852021:DON852050 DYJ852021:DYJ852050 EIF852021:EIF852050 ESB852021:ESB852050 FBX852021:FBX852050 FLT852021:FLT852050 FVP852021:FVP852050 GFL852021:GFL852050 GPH852021:GPH852050 GZD852021:GZD852050 HIZ852021:HIZ852050 HSV852021:HSV852050 ICR852021:ICR852050 IMN852021:IMN852050 IWJ852021:IWJ852050 JGF852021:JGF852050 JQB852021:JQB852050 JZX852021:JZX852050 KJT852021:KJT852050 KTP852021:KTP852050 LDL852021:LDL852050 LNH852021:LNH852050 LXD852021:LXD852050 MGZ852021:MGZ852050 MQV852021:MQV852050 NAR852021:NAR852050 NKN852021:NKN852050 NUJ852021:NUJ852050 OEF852021:OEF852050 OOB852021:OOB852050 OXX852021:OXX852050 PHT852021:PHT852050 PRP852021:PRP852050 QBL852021:QBL852050 QLH852021:QLH852050 QVD852021:QVD852050 REZ852021:REZ852050 ROV852021:ROV852050 RYR852021:RYR852050 SIN852021:SIN852050 SSJ852021:SSJ852050 TCF852021:TCF852050 TMB852021:TMB852050 TVX852021:TVX852050 UFT852021:UFT852050 UPP852021:UPP852050 UZL852021:UZL852050 VJH852021:VJH852050 VTD852021:VTD852050 WCZ852021:WCZ852050 WMV852021:WMV852050 AJ917557:AJ917586 KF917557:KF917586 UB917557:UB917586 ADX917557:ADX917586 ANT917557:ANT917586 AXP917557:AXP917586 BHL917557:BHL917586 BRH917557:BRH917586 CBD917557:CBD917586 CKZ917557:CKZ917586 CUV917557:CUV917586 DER917557:DER917586 DON917557:DON917586 DYJ917557:DYJ917586 EIF917557:EIF917586 ESB917557:ESB917586 FBX917557:FBX917586 FLT917557:FLT917586 FVP917557:FVP917586 GFL917557:GFL917586 GPH917557:GPH917586 GZD917557:GZD917586 HIZ917557:HIZ917586 HSV917557:HSV917586 ICR917557:ICR917586 IMN917557:IMN917586 IWJ917557:IWJ917586 JGF917557:JGF917586 JQB917557:JQB917586 JZX917557:JZX917586 KJT917557:KJT917586 KTP917557:KTP917586 LDL917557:LDL917586 LNH917557:LNH917586 LXD917557:LXD917586 MGZ917557:MGZ917586 MQV917557:MQV917586 NAR917557:NAR917586 NKN917557:NKN917586 NUJ917557:NUJ917586 OEF917557:OEF917586 OOB917557:OOB917586 OXX917557:OXX917586 PHT917557:PHT917586 PRP917557:PRP917586 QBL917557:QBL917586 QLH917557:QLH917586 QVD917557:QVD917586 REZ917557:REZ917586 ROV917557:ROV917586 RYR917557:RYR917586 SIN917557:SIN917586 SSJ917557:SSJ917586 TCF917557:TCF917586 TMB917557:TMB917586 TVX917557:TVX917586 UFT917557:UFT917586 UPP917557:UPP917586 UZL917557:UZL917586 VJH917557:VJH917586 VTD917557:VTD917586 WCZ917557:WCZ917586 WMV917557:WMV917586 AJ983093:AJ983122 KF983093:KF983122 UB983093:UB983122 ADX983093:ADX983122 ANT983093:ANT983122 AXP983093:AXP983122 BHL983093:BHL983122 BRH983093:BRH983122 CBD983093:CBD983122 CKZ983093:CKZ983122 CUV983093:CUV983122 DER983093:DER983122 DON983093:DON983122 DYJ983093:DYJ983122 EIF983093:EIF983122 ESB983093:ESB983122 FBX983093:FBX983122 FLT983093:FLT983122 FVP983093:FVP983122 GFL983093:GFL983122 GPH983093:GPH983122 GZD983093:GZD983122 HIZ983093:HIZ983122 HSV983093:HSV983122 ICR983093:ICR983122 IMN983093:IMN983122 IWJ983093:IWJ983122 JGF983093:JGF983122 JQB983093:JQB983122 JZX983093:JZX983122 KJT983093:KJT983122 KTP983093:KTP983122 LDL983093:LDL983122 LNH983093:LNH983122 LXD983093:LXD983122 MGZ983093:MGZ983122 MQV983093:MQV983122 NAR983093:NAR983122 NKN983093:NKN983122 NUJ983093:NUJ983122 OEF983093:OEF983122 OOB983093:OOB983122 OXX983093:OXX983122 PHT983093:PHT983122 PRP983093:PRP983122 QBL983093:QBL983122 QLH983093:QLH983122 QVD983093:QVD983122 REZ983093:REZ983122 ROV983093:ROV983122 RYR983093:RYR983122 SIN983093:SIN983122 SSJ983093:SSJ983122 TCF983093:TCF983122 TMB983093:TMB983122 TVX983093:TVX983122 UFT983093:UFT983122 UPP983093:UPP983122 UZL983093:UZL983122 VJH983093:VJH983122 VTD983093:VTD983122 WCZ983093:WCZ983122 T10 T13 T22 T16 T19 AF6:AF86 KB6:KB86 TX6:TX86 ADT6:ADT86 ANP6:ANP86 AXL6:AXL86 BHH6:BHH86 BRD6:BRD86 CAZ6:CAZ86 CKV6:CKV86 CUR6:CUR86 DEN6:DEN86 DOJ6:DOJ86 DYF6:DYF86 EIB6:EIB86 ERX6:ERX86 FBT6:FBT86 FLP6:FLP86 FVL6:FVL86 GFH6:GFH86 GPD6:GPD86 GYZ6:GYZ86 HIV6:HIV86 HSR6:HSR86 ICN6:ICN86 IMJ6:IMJ86 IWF6:IWF86 JGB6:JGB86 JPX6:JPX86 JZT6:JZT86 KJP6:KJP86 KTL6:KTL86 LDH6:LDH86 LND6:LND86 LWZ6:LWZ86 MGV6:MGV86 MQR6:MQR86 NAN6:NAN86 NKJ6:NKJ86 NUF6:NUF86 OEB6:OEB86 ONX6:ONX86 OXT6:OXT86 PHP6:PHP86 PRL6:PRL86 QBH6:QBH86 QLD6:QLD86 QUZ6:QUZ86 REV6:REV86 ROR6:ROR86 RYN6:RYN86 SIJ6:SIJ86 SSF6:SSF86 TCB6:TCB86 TLX6:TLX86 TVT6:TVT86 UFP6:UFP86 UPL6:UPL86 UZH6:UZH86 VJD6:VJD86 WMR6:WMR86 VSZ6:VSZ86 WCV6:WCV86" xr:uid="{855F6B68-028B-4980-B22A-8A39AD64CF66}">
      <formula1>"สมเด็จ, มานพ, นิคม, คลองเตย,"</formula1>
    </dataValidation>
    <dataValidation type="list" allowBlank="1" showInputMessage="1" showErrorMessage="1" sqref="WMU983093:WMU983122 AI65589:AI65618 KE65589:KE65618 UA65589:UA65618 ADW65589:ADW65618 ANS65589:ANS65618 AXO65589:AXO65618 BHK65589:BHK65618 BRG65589:BRG65618 CBC65589:CBC65618 CKY65589:CKY65618 CUU65589:CUU65618 DEQ65589:DEQ65618 DOM65589:DOM65618 DYI65589:DYI65618 EIE65589:EIE65618 ESA65589:ESA65618 FBW65589:FBW65618 FLS65589:FLS65618 FVO65589:FVO65618 GFK65589:GFK65618 GPG65589:GPG65618 GZC65589:GZC65618 HIY65589:HIY65618 HSU65589:HSU65618 ICQ65589:ICQ65618 IMM65589:IMM65618 IWI65589:IWI65618 JGE65589:JGE65618 JQA65589:JQA65618 JZW65589:JZW65618 KJS65589:KJS65618 KTO65589:KTO65618 LDK65589:LDK65618 LNG65589:LNG65618 LXC65589:LXC65618 MGY65589:MGY65618 MQU65589:MQU65618 NAQ65589:NAQ65618 NKM65589:NKM65618 NUI65589:NUI65618 OEE65589:OEE65618 OOA65589:OOA65618 OXW65589:OXW65618 PHS65589:PHS65618 PRO65589:PRO65618 QBK65589:QBK65618 QLG65589:QLG65618 QVC65589:QVC65618 REY65589:REY65618 ROU65589:ROU65618 RYQ65589:RYQ65618 SIM65589:SIM65618 SSI65589:SSI65618 TCE65589:TCE65618 TMA65589:TMA65618 TVW65589:TVW65618 UFS65589:UFS65618 UPO65589:UPO65618 UZK65589:UZK65618 VJG65589:VJG65618 VTC65589:VTC65618 WCY65589:WCY65618 WMU65589:WMU65618 AI131125:AI131154 KE131125:KE131154 UA131125:UA131154 ADW131125:ADW131154 ANS131125:ANS131154 AXO131125:AXO131154 BHK131125:BHK131154 BRG131125:BRG131154 CBC131125:CBC131154 CKY131125:CKY131154 CUU131125:CUU131154 DEQ131125:DEQ131154 DOM131125:DOM131154 DYI131125:DYI131154 EIE131125:EIE131154 ESA131125:ESA131154 FBW131125:FBW131154 FLS131125:FLS131154 FVO131125:FVO131154 GFK131125:GFK131154 GPG131125:GPG131154 GZC131125:GZC131154 HIY131125:HIY131154 HSU131125:HSU131154 ICQ131125:ICQ131154 IMM131125:IMM131154 IWI131125:IWI131154 JGE131125:JGE131154 JQA131125:JQA131154 JZW131125:JZW131154 KJS131125:KJS131154 KTO131125:KTO131154 LDK131125:LDK131154 LNG131125:LNG131154 LXC131125:LXC131154 MGY131125:MGY131154 MQU131125:MQU131154 NAQ131125:NAQ131154 NKM131125:NKM131154 NUI131125:NUI131154 OEE131125:OEE131154 OOA131125:OOA131154 OXW131125:OXW131154 PHS131125:PHS131154 PRO131125:PRO131154 QBK131125:QBK131154 QLG131125:QLG131154 QVC131125:QVC131154 REY131125:REY131154 ROU131125:ROU131154 RYQ131125:RYQ131154 SIM131125:SIM131154 SSI131125:SSI131154 TCE131125:TCE131154 TMA131125:TMA131154 TVW131125:TVW131154 UFS131125:UFS131154 UPO131125:UPO131154 UZK131125:UZK131154 VJG131125:VJG131154 VTC131125:VTC131154 WCY131125:WCY131154 WMU131125:WMU131154 AI196661:AI196690 KE196661:KE196690 UA196661:UA196690 ADW196661:ADW196690 ANS196661:ANS196690 AXO196661:AXO196690 BHK196661:BHK196690 BRG196661:BRG196690 CBC196661:CBC196690 CKY196661:CKY196690 CUU196661:CUU196690 DEQ196661:DEQ196690 DOM196661:DOM196690 DYI196661:DYI196690 EIE196661:EIE196690 ESA196661:ESA196690 FBW196661:FBW196690 FLS196661:FLS196690 FVO196661:FVO196690 GFK196661:GFK196690 GPG196661:GPG196690 GZC196661:GZC196690 HIY196661:HIY196690 HSU196661:HSU196690 ICQ196661:ICQ196690 IMM196661:IMM196690 IWI196661:IWI196690 JGE196661:JGE196690 JQA196661:JQA196690 JZW196661:JZW196690 KJS196661:KJS196690 KTO196661:KTO196690 LDK196661:LDK196690 LNG196661:LNG196690 LXC196661:LXC196690 MGY196661:MGY196690 MQU196661:MQU196690 NAQ196661:NAQ196690 NKM196661:NKM196690 NUI196661:NUI196690 OEE196661:OEE196690 OOA196661:OOA196690 OXW196661:OXW196690 PHS196661:PHS196690 PRO196661:PRO196690 QBK196661:QBK196690 QLG196661:QLG196690 QVC196661:QVC196690 REY196661:REY196690 ROU196661:ROU196690 RYQ196661:RYQ196690 SIM196661:SIM196690 SSI196661:SSI196690 TCE196661:TCE196690 TMA196661:TMA196690 TVW196661:TVW196690 UFS196661:UFS196690 UPO196661:UPO196690 UZK196661:UZK196690 VJG196661:VJG196690 VTC196661:VTC196690 WCY196661:WCY196690 WMU196661:WMU196690 AI262197:AI262226 KE262197:KE262226 UA262197:UA262226 ADW262197:ADW262226 ANS262197:ANS262226 AXO262197:AXO262226 BHK262197:BHK262226 BRG262197:BRG262226 CBC262197:CBC262226 CKY262197:CKY262226 CUU262197:CUU262226 DEQ262197:DEQ262226 DOM262197:DOM262226 DYI262197:DYI262226 EIE262197:EIE262226 ESA262197:ESA262226 FBW262197:FBW262226 FLS262197:FLS262226 FVO262197:FVO262226 GFK262197:GFK262226 GPG262197:GPG262226 GZC262197:GZC262226 HIY262197:HIY262226 HSU262197:HSU262226 ICQ262197:ICQ262226 IMM262197:IMM262226 IWI262197:IWI262226 JGE262197:JGE262226 JQA262197:JQA262226 JZW262197:JZW262226 KJS262197:KJS262226 KTO262197:KTO262226 LDK262197:LDK262226 LNG262197:LNG262226 LXC262197:LXC262226 MGY262197:MGY262226 MQU262197:MQU262226 NAQ262197:NAQ262226 NKM262197:NKM262226 NUI262197:NUI262226 OEE262197:OEE262226 OOA262197:OOA262226 OXW262197:OXW262226 PHS262197:PHS262226 PRO262197:PRO262226 QBK262197:QBK262226 QLG262197:QLG262226 QVC262197:QVC262226 REY262197:REY262226 ROU262197:ROU262226 RYQ262197:RYQ262226 SIM262197:SIM262226 SSI262197:SSI262226 TCE262197:TCE262226 TMA262197:TMA262226 TVW262197:TVW262226 UFS262197:UFS262226 UPO262197:UPO262226 UZK262197:UZK262226 VJG262197:VJG262226 VTC262197:VTC262226 WCY262197:WCY262226 WMU262197:WMU262226 AI327733:AI327762 KE327733:KE327762 UA327733:UA327762 ADW327733:ADW327762 ANS327733:ANS327762 AXO327733:AXO327762 BHK327733:BHK327762 BRG327733:BRG327762 CBC327733:CBC327762 CKY327733:CKY327762 CUU327733:CUU327762 DEQ327733:DEQ327762 DOM327733:DOM327762 DYI327733:DYI327762 EIE327733:EIE327762 ESA327733:ESA327762 FBW327733:FBW327762 FLS327733:FLS327762 FVO327733:FVO327762 GFK327733:GFK327762 GPG327733:GPG327762 GZC327733:GZC327762 HIY327733:HIY327762 HSU327733:HSU327762 ICQ327733:ICQ327762 IMM327733:IMM327762 IWI327733:IWI327762 JGE327733:JGE327762 JQA327733:JQA327762 JZW327733:JZW327762 KJS327733:KJS327762 KTO327733:KTO327762 LDK327733:LDK327762 LNG327733:LNG327762 LXC327733:LXC327762 MGY327733:MGY327762 MQU327733:MQU327762 NAQ327733:NAQ327762 NKM327733:NKM327762 NUI327733:NUI327762 OEE327733:OEE327762 OOA327733:OOA327762 OXW327733:OXW327762 PHS327733:PHS327762 PRO327733:PRO327762 QBK327733:QBK327762 QLG327733:QLG327762 QVC327733:QVC327762 REY327733:REY327762 ROU327733:ROU327762 RYQ327733:RYQ327762 SIM327733:SIM327762 SSI327733:SSI327762 TCE327733:TCE327762 TMA327733:TMA327762 TVW327733:TVW327762 UFS327733:UFS327762 UPO327733:UPO327762 UZK327733:UZK327762 VJG327733:VJG327762 VTC327733:VTC327762 WCY327733:WCY327762 WMU327733:WMU327762 AI393269:AI393298 KE393269:KE393298 UA393269:UA393298 ADW393269:ADW393298 ANS393269:ANS393298 AXO393269:AXO393298 BHK393269:BHK393298 BRG393269:BRG393298 CBC393269:CBC393298 CKY393269:CKY393298 CUU393269:CUU393298 DEQ393269:DEQ393298 DOM393269:DOM393298 DYI393269:DYI393298 EIE393269:EIE393298 ESA393269:ESA393298 FBW393269:FBW393298 FLS393269:FLS393298 FVO393269:FVO393298 GFK393269:GFK393298 GPG393269:GPG393298 GZC393269:GZC393298 HIY393269:HIY393298 HSU393269:HSU393298 ICQ393269:ICQ393298 IMM393269:IMM393298 IWI393269:IWI393298 JGE393269:JGE393298 JQA393269:JQA393298 JZW393269:JZW393298 KJS393269:KJS393298 KTO393269:KTO393298 LDK393269:LDK393298 LNG393269:LNG393298 LXC393269:LXC393298 MGY393269:MGY393298 MQU393269:MQU393298 NAQ393269:NAQ393298 NKM393269:NKM393298 NUI393269:NUI393298 OEE393269:OEE393298 OOA393269:OOA393298 OXW393269:OXW393298 PHS393269:PHS393298 PRO393269:PRO393298 QBK393269:QBK393298 QLG393269:QLG393298 QVC393269:QVC393298 REY393269:REY393298 ROU393269:ROU393298 RYQ393269:RYQ393298 SIM393269:SIM393298 SSI393269:SSI393298 TCE393269:TCE393298 TMA393269:TMA393298 TVW393269:TVW393298 UFS393269:UFS393298 UPO393269:UPO393298 UZK393269:UZK393298 VJG393269:VJG393298 VTC393269:VTC393298 WCY393269:WCY393298 WMU393269:WMU393298 AI458805:AI458834 KE458805:KE458834 UA458805:UA458834 ADW458805:ADW458834 ANS458805:ANS458834 AXO458805:AXO458834 BHK458805:BHK458834 BRG458805:BRG458834 CBC458805:CBC458834 CKY458805:CKY458834 CUU458805:CUU458834 DEQ458805:DEQ458834 DOM458805:DOM458834 DYI458805:DYI458834 EIE458805:EIE458834 ESA458805:ESA458834 FBW458805:FBW458834 FLS458805:FLS458834 FVO458805:FVO458834 GFK458805:GFK458834 GPG458805:GPG458834 GZC458805:GZC458834 HIY458805:HIY458834 HSU458805:HSU458834 ICQ458805:ICQ458834 IMM458805:IMM458834 IWI458805:IWI458834 JGE458805:JGE458834 JQA458805:JQA458834 JZW458805:JZW458834 KJS458805:KJS458834 KTO458805:KTO458834 LDK458805:LDK458834 LNG458805:LNG458834 LXC458805:LXC458834 MGY458805:MGY458834 MQU458805:MQU458834 NAQ458805:NAQ458834 NKM458805:NKM458834 NUI458805:NUI458834 OEE458805:OEE458834 OOA458805:OOA458834 OXW458805:OXW458834 PHS458805:PHS458834 PRO458805:PRO458834 QBK458805:QBK458834 QLG458805:QLG458834 QVC458805:QVC458834 REY458805:REY458834 ROU458805:ROU458834 RYQ458805:RYQ458834 SIM458805:SIM458834 SSI458805:SSI458834 TCE458805:TCE458834 TMA458805:TMA458834 TVW458805:TVW458834 UFS458805:UFS458834 UPO458805:UPO458834 UZK458805:UZK458834 VJG458805:VJG458834 VTC458805:VTC458834 WCY458805:WCY458834 WMU458805:WMU458834 AI524341:AI524370 KE524341:KE524370 UA524341:UA524370 ADW524341:ADW524370 ANS524341:ANS524370 AXO524341:AXO524370 BHK524341:BHK524370 BRG524341:BRG524370 CBC524341:CBC524370 CKY524341:CKY524370 CUU524341:CUU524370 DEQ524341:DEQ524370 DOM524341:DOM524370 DYI524341:DYI524370 EIE524341:EIE524370 ESA524341:ESA524370 FBW524341:FBW524370 FLS524341:FLS524370 FVO524341:FVO524370 GFK524341:GFK524370 GPG524341:GPG524370 GZC524341:GZC524370 HIY524341:HIY524370 HSU524341:HSU524370 ICQ524341:ICQ524370 IMM524341:IMM524370 IWI524341:IWI524370 JGE524341:JGE524370 JQA524341:JQA524370 JZW524341:JZW524370 KJS524341:KJS524370 KTO524341:KTO524370 LDK524341:LDK524370 LNG524341:LNG524370 LXC524341:LXC524370 MGY524341:MGY524370 MQU524341:MQU524370 NAQ524341:NAQ524370 NKM524341:NKM524370 NUI524341:NUI524370 OEE524341:OEE524370 OOA524341:OOA524370 OXW524341:OXW524370 PHS524341:PHS524370 PRO524341:PRO524370 QBK524341:QBK524370 QLG524341:QLG524370 QVC524341:QVC524370 REY524341:REY524370 ROU524341:ROU524370 RYQ524341:RYQ524370 SIM524341:SIM524370 SSI524341:SSI524370 TCE524341:TCE524370 TMA524341:TMA524370 TVW524341:TVW524370 UFS524341:UFS524370 UPO524341:UPO524370 UZK524341:UZK524370 VJG524341:VJG524370 VTC524341:VTC524370 WCY524341:WCY524370 WMU524341:WMU524370 AI589877:AI589906 KE589877:KE589906 UA589877:UA589906 ADW589877:ADW589906 ANS589877:ANS589906 AXO589877:AXO589906 BHK589877:BHK589906 BRG589877:BRG589906 CBC589877:CBC589906 CKY589877:CKY589906 CUU589877:CUU589906 DEQ589877:DEQ589906 DOM589877:DOM589906 DYI589877:DYI589906 EIE589877:EIE589906 ESA589877:ESA589906 FBW589877:FBW589906 FLS589877:FLS589906 FVO589877:FVO589906 GFK589877:GFK589906 GPG589877:GPG589906 GZC589877:GZC589906 HIY589877:HIY589906 HSU589877:HSU589906 ICQ589877:ICQ589906 IMM589877:IMM589906 IWI589877:IWI589906 JGE589877:JGE589906 JQA589877:JQA589906 JZW589877:JZW589906 KJS589877:KJS589906 KTO589877:KTO589906 LDK589877:LDK589906 LNG589877:LNG589906 LXC589877:LXC589906 MGY589877:MGY589906 MQU589877:MQU589906 NAQ589877:NAQ589906 NKM589877:NKM589906 NUI589877:NUI589906 OEE589877:OEE589906 OOA589877:OOA589906 OXW589877:OXW589906 PHS589877:PHS589906 PRO589877:PRO589906 QBK589877:QBK589906 QLG589877:QLG589906 QVC589877:QVC589906 REY589877:REY589906 ROU589877:ROU589906 RYQ589877:RYQ589906 SIM589877:SIM589906 SSI589877:SSI589906 TCE589877:TCE589906 TMA589877:TMA589906 TVW589877:TVW589906 UFS589877:UFS589906 UPO589877:UPO589906 UZK589877:UZK589906 VJG589877:VJG589906 VTC589877:VTC589906 WCY589877:WCY589906 WMU589877:WMU589906 AI655413:AI655442 KE655413:KE655442 UA655413:UA655442 ADW655413:ADW655442 ANS655413:ANS655442 AXO655413:AXO655442 BHK655413:BHK655442 BRG655413:BRG655442 CBC655413:CBC655442 CKY655413:CKY655442 CUU655413:CUU655442 DEQ655413:DEQ655442 DOM655413:DOM655442 DYI655413:DYI655442 EIE655413:EIE655442 ESA655413:ESA655442 FBW655413:FBW655442 FLS655413:FLS655442 FVO655413:FVO655442 GFK655413:GFK655442 GPG655413:GPG655442 GZC655413:GZC655442 HIY655413:HIY655442 HSU655413:HSU655442 ICQ655413:ICQ655442 IMM655413:IMM655442 IWI655413:IWI655442 JGE655413:JGE655442 JQA655413:JQA655442 JZW655413:JZW655442 KJS655413:KJS655442 KTO655413:KTO655442 LDK655413:LDK655442 LNG655413:LNG655442 LXC655413:LXC655442 MGY655413:MGY655442 MQU655413:MQU655442 NAQ655413:NAQ655442 NKM655413:NKM655442 NUI655413:NUI655442 OEE655413:OEE655442 OOA655413:OOA655442 OXW655413:OXW655442 PHS655413:PHS655442 PRO655413:PRO655442 QBK655413:QBK655442 QLG655413:QLG655442 QVC655413:QVC655442 REY655413:REY655442 ROU655413:ROU655442 RYQ655413:RYQ655442 SIM655413:SIM655442 SSI655413:SSI655442 TCE655413:TCE655442 TMA655413:TMA655442 TVW655413:TVW655442 UFS655413:UFS655442 UPO655413:UPO655442 UZK655413:UZK655442 VJG655413:VJG655442 VTC655413:VTC655442 WCY655413:WCY655442 WMU655413:WMU655442 AI720949:AI720978 KE720949:KE720978 UA720949:UA720978 ADW720949:ADW720978 ANS720949:ANS720978 AXO720949:AXO720978 BHK720949:BHK720978 BRG720949:BRG720978 CBC720949:CBC720978 CKY720949:CKY720978 CUU720949:CUU720978 DEQ720949:DEQ720978 DOM720949:DOM720978 DYI720949:DYI720978 EIE720949:EIE720978 ESA720949:ESA720978 FBW720949:FBW720978 FLS720949:FLS720978 FVO720949:FVO720978 GFK720949:GFK720978 GPG720949:GPG720978 GZC720949:GZC720978 HIY720949:HIY720978 HSU720949:HSU720978 ICQ720949:ICQ720978 IMM720949:IMM720978 IWI720949:IWI720978 JGE720949:JGE720978 JQA720949:JQA720978 JZW720949:JZW720978 KJS720949:KJS720978 KTO720949:KTO720978 LDK720949:LDK720978 LNG720949:LNG720978 LXC720949:LXC720978 MGY720949:MGY720978 MQU720949:MQU720978 NAQ720949:NAQ720978 NKM720949:NKM720978 NUI720949:NUI720978 OEE720949:OEE720978 OOA720949:OOA720978 OXW720949:OXW720978 PHS720949:PHS720978 PRO720949:PRO720978 QBK720949:QBK720978 QLG720949:QLG720978 QVC720949:QVC720978 REY720949:REY720978 ROU720949:ROU720978 RYQ720949:RYQ720978 SIM720949:SIM720978 SSI720949:SSI720978 TCE720949:TCE720978 TMA720949:TMA720978 TVW720949:TVW720978 UFS720949:UFS720978 UPO720949:UPO720978 UZK720949:UZK720978 VJG720949:VJG720978 VTC720949:VTC720978 WCY720949:WCY720978 WMU720949:WMU720978 AI786485:AI786514 KE786485:KE786514 UA786485:UA786514 ADW786485:ADW786514 ANS786485:ANS786514 AXO786485:AXO786514 BHK786485:BHK786514 BRG786485:BRG786514 CBC786485:CBC786514 CKY786485:CKY786514 CUU786485:CUU786514 DEQ786485:DEQ786514 DOM786485:DOM786514 DYI786485:DYI786514 EIE786485:EIE786514 ESA786485:ESA786514 FBW786485:FBW786514 FLS786485:FLS786514 FVO786485:FVO786514 GFK786485:GFK786514 GPG786485:GPG786514 GZC786485:GZC786514 HIY786485:HIY786514 HSU786485:HSU786514 ICQ786485:ICQ786514 IMM786485:IMM786514 IWI786485:IWI786514 JGE786485:JGE786514 JQA786485:JQA786514 JZW786485:JZW786514 KJS786485:KJS786514 KTO786485:KTO786514 LDK786485:LDK786514 LNG786485:LNG786514 LXC786485:LXC786514 MGY786485:MGY786514 MQU786485:MQU786514 NAQ786485:NAQ786514 NKM786485:NKM786514 NUI786485:NUI786514 OEE786485:OEE786514 OOA786485:OOA786514 OXW786485:OXW786514 PHS786485:PHS786514 PRO786485:PRO786514 QBK786485:QBK786514 QLG786485:QLG786514 QVC786485:QVC786514 REY786485:REY786514 ROU786485:ROU786514 RYQ786485:RYQ786514 SIM786485:SIM786514 SSI786485:SSI786514 TCE786485:TCE786514 TMA786485:TMA786514 TVW786485:TVW786514 UFS786485:UFS786514 UPO786485:UPO786514 UZK786485:UZK786514 VJG786485:VJG786514 VTC786485:VTC786514 WCY786485:WCY786514 WMU786485:WMU786514 AI852021:AI852050 KE852021:KE852050 UA852021:UA852050 ADW852021:ADW852050 ANS852021:ANS852050 AXO852021:AXO852050 BHK852021:BHK852050 BRG852021:BRG852050 CBC852021:CBC852050 CKY852021:CKY852050 CUU852021:CUU852050 DEQ852021:DEQ852050 DOM852021:DOM852050 DYI852021:DYI852050 EIE852021:EIE852050 ESA852021:ESA852050 FBW852021:FBW852050 FLS852021:FLS852050 FVO852021:FVO852050 GFK852021:GFK852050 GPG852021:GPG852050 GZC852021:GZC852050 HIY852021:HIY852050 HSU852021:HSU852050 ICQ852021:ICQ852050 IMM852021:IMM852050 IWI852021:IWI852050 JGE852021:JGE852050 JQA852021:JQA852050 JZW852021:JZW852050 KJS852021:KJS852050 KTO852021:KTO852050 LDK852021:LDK852050 LNG852021:LNG852050 LXC852021:LXC852050 MGY852021:MGY852050 MQU852021:MQU852050 NAQ852021:NAQ852050 NKM852021:NKM852050 NUI852021:NUI852050 OEE852021:OEE852050 OOA852021:OOA852050 OXW852021:OXW852050 PHS852021:PHS852050 PRO852021:PRO852050 QBK852021:QBK852050 QLG852021:QLG852050 QVC852021:QVC852050 REY852021:REY852050 ROU852021:ROU852050 RYQ852021:RYQ852050 SIM852021:SIM852050 SSI852021:SSI852050 TCE852021:TCE852050 TMA852021:TMA852050 TVW852021:TVW852050 UFS852021:UFS852050 UPO852021:UPO852050 UZK852021:UZK852050 VJG852021:VJG852050 VTC852021:VTC852050 WCY852021:WCY852050 WMU852021:WMU852050 AI917557:AI917586 KE917557:KE917586 UA917557:UA917586 ADW917557:ADW917586 ANS917557:ANS917586 AXO917557:AXO917586 BHK917557:BHK917586 BRG917557:BRG917586 CBC917557:CBC917586 CKY917557:CKY917586 CUU917557:CUU917586 DEQ917557:DEQ917586 DOM917557:DOM917586 DYI917557:DYI917586 EIE917557:EIE917586 ESA917557:ESA917586 FBW917557:FBW917586 FLS917557:FLS917586 FVO917557:FVO917586 GFK917557:GFK917586 GPG917557:GPG917586 GZC917557:GZC917586 HIY917557:HIY917586 HSU917557:HSU917586 ICQ917557:ICQ917586 IMM917557:IMM917586 IWI917557:IWI917586 JGE917557:JGE917586 JQA917557:JQA917586 JZW917557:JZW917586 KJS917557:KJS917586 KTO917557:KTO917586 LDK917557:LDK917586 LNG917557:LNG917586 LXC917557:LXC917586 MGY917557:MGY917586 MQU917557:MQU917586 NAQ917557:NAQ917586 NKM917557:NKM917586 NUI917557:NUI917586 OEE917557:OEE917586 OOA917557:OOA917586 OXW917557:OXW917586 PHS917557:PHS917586 PRO917557:PRO917586 QBK917557:QBK917586 QLG917557:QLG917586 QVC917557:QVC917586 REY917557:REY917586 ROU917557:ROU917586 RYQ917557:RYQ917586 SIM917557:SIM917586 SSI917557:SSI917586 TCE917557:TCE917586 TMA917557:TMA917586 TVW917557:TVW917586 UFS917557:UFS917586 UPO917557:UPO917586 UZK917557:UZK917586 VJG917557:VJG917586 VTC917557:VTC917586 WCY917557:WCY917586 WMU917557:WMU917586 AI983093:AI983122 KE983093:KE983122 UA983093:UA983122 ADW983093:ADW983122 ANS983093:ANS983122 AXO983093:AXO983122 BHK983093:BHK983122 BRG983093:BRG983122 CBC983093:CBC983122 CKY983093:CKY983122 CUU983093:CUU983122 DEQ983093:DEQ983122 DOM983093:DOM983122 DYI983093:DYI983122 EIE983093:EIE983122 ESA983093:ESA983122 FBW983093:FBW983122 FLS983093:FLS983122 FVO983093:FVO983122 GFK983093:GFK983122 GPG983093:GPG983122 GZC983093:GZC983122 HIY983093:HIY983122 HSU983093:HSU983122 ICQ983093:ICQ983122 IMM983093:IMM983122 IWI983093:IWI983122 JGE983093:JGE983122 JQA983093:JQA983122 JZW983093:JZW983122 KJS983093:KJS983122 KTO983093:KTO983122 LDK983093:LDK983122 LNG983093:LNG983122 LXC983093:LXC983122 MGY983093:MGY983122 MQU983093:MQU983122 NAQ983093:NAQ983122 NKM983093:NKM983122 NUI983093:NUI983122 OEE983093:OEE983122 OOA983093:OOA983122 OXW983093:OXW983122 PHS983093:PHS983122 PRO983093:PRO983122 QBK983093:QBK983122 QLG983093:QLG983122 QVC983093:QVC983122 REY983093:REY983122 ROU983093:ROU983122 RYQ983093:RYQ983122 SIM983093:SIM983122 SSI983093:SSI983122 TCE983093:TCE983122 TMA983093:TMA983122 TVW983093:TVW983122 UFS983093:UFS983122 UPO983093:UPO983122 UZK983093:UZK983122 VJG983093:VJG983122 VTC983093:VTC983122 WCY983093:WCY983122 WMQ6:WMQ86 AE6:AE86 KA6:KA86 TW6:TW86 ADS6:ADS86 ANO6:ANO86 AXK6:AXK86 BHG6:BHG86 BRC6:BRC86 CAY6:CAY86 CKU6:CKU86 CUQ6:CUQ86 DEM6:DEM86 DOI6:DOI86 DYE6:DYE86 EIA6:EIA86 ERW6:ERW86 FBS6:FBS86 FLO6:FLO86 FVK6:FVK86 GFG6:GFG86 GPC6:GPC86 GYY6:GYY86 HIU6:HIU86 HSQ6:HSQ86 ICM6:ICM86 IMI6:IMI86 IWE6:IWE86 JGA6:JGA86 JPW6:JPW86 JZS6:JZS86 KJO6:KJO86 KTK6:KTK86 LDG6:LDG86 LNC6:LNC86 LWY6:LWY86 MGU6:MGU86 MQQ6:MQQ86 NAM6:NAM86 NKI6:NKI86 NUE6:NUE86 OEA6:OEA86 ONW6:ONW86 OXS6:OXS86 PHO6:PHO86 PRK6:PRK86 QBG6:QBG86 QLC6:QLC86 QUY6:QUY86 REU6:REU86 ROQ6:ROQ86 RYM6:RYM86 SII6:SII86 SSE6:SSE86 TCA6:TCA86 TLW6:TLW86 TVS6:TVS86 UFO6:UFO86 UPK6:UPK86 UZG6:UZG86 VJC6:VJC86 VSY6:VSY86 WCU6:WCU86"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9" scale="35" fitToHeight="2" orientation="landscape" r:id="rId1"/>
  <headerFooter alignWithMargins="0"/>
  <ignoredErrors>
    <ignoredError sqref="Q8:R8 I87 L7:N8 L85:M86 L39:M41 L84:N84 L42:L47 Q84 Q42:Q47 L48:L50 L30:L32 L27:L29 L33 N42:N47 N48:N50 L24:L26 U87 F87 J87:N87 M24:N26 M33:N33 M27:N29 M30:N32 Q30:Q32 M34:Q34 O32:P32 Q28:Q29 O33:Q33 Q24:Q26 Q27 L6:M6 Q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6894635A-EA7B-4FE7-A357-6720A2125EAD}">
          <x14:formula1>
            <xm:f>Ref!$C$2:$C$20</xm:f>
          </x14:formula1>
          <xm:sqref>E30 E66 E45 E21 E27 E33 E42 E36 E39 E84 E6 E48 E51 E54 E57 E81 E69 E78 E72 E63 E15 E9 E18 E12 E24</xm:sqref>
        </x14:dataValidation>
        <x14:dataValidation type="list" allowBlank="1" showInputMessage="1" showErrorMessage="1" xr:uid="{D2C2E0C5-3CB3-4E5C-9E2F-FCA3509FDCD7}">
          <x14:formula1>
            <xm:f>Ref!$B$2:$B$21</xm:f>
          </x14:formula1>
          <xm:sqref>D84 D21 D15 D9 D12 D18 D63 D72 D78 D69 D81 D57 D54 D51 D48 D45 D42 D6 D36 D30 D33 D24 D27 D39 D66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VZ190"/>
  <sheetViews>
    <sheetView zoomScale="80" zoomScaleNormal="80" workbookViewId="0">
      <selection activeCell="J12" sqref="J12"/>
    </sheetView>
  </sheetViews>
  <sheetFormatPr defaultColWidth="0" defaultRowHeight="0" customHeight="1" zeroHeight="1"/>
  <cols>
    <col min="1" max="1" width="6.88671875" style="69" customWidth="1"/>
    <col min="2" max="2" width="20.77734375" style="69" customWidth="1"/>
    <col min="3" max="3" width="27.44140625" style="69" bestFit="1" customWidth="1"/>
    <col min="4" max="4" width="29" style="69" customWidth="1"/>
    <col min="5" max="5" width="15.88671875" style="78" bestFit="1" customWidth="1"/>
    <col min="6" max="6" width="15.88671875" style="78" customWidth="1"/>
    <col min="7" max="7" width="16.5546875" style="78" bestFit="1" customWidth="1"/>
    <col min="8" max="8" width="15.88671875" style="78" customWidth="1"/>
    <col min="9" max="9" width="15.33203125" style="78" customWidth="1"/>
    <col min="10" max="10" width="14.6640625" style="69" customWidth="1"/>
    <col min="11" max="11" width="20.77734375" style="69" customWidth="1"/>
    <col min="12" max="12" width="11.77734375" style="69" customWidth="1"/>
    <col min="13" max="13" width="14.88671875" style="69" customWidth="1"/>
    <col min="14" max="16" width="8" style="69" customWidth="1"/>
    <col min="17" max="256" width="9.109375" style="69" hidden="1"/>
    <col min="257" max="257" width="6.88671875" style="69" customWidth="1"/>
    <col min="258" max="258" width="23.33203125" style="69" customWidth="1"/>
    <col min="259" max="259" width="42.88671875" style="69" customWidth="1"/>
    <col min="260" max="260" width="14" style="69" customWidth="1"/>
    <col min="261" max="261" width="14.109375" style="69" customWidth="1"/>
    <col min="262" max="262" width="13" style="69" customWidth="1"/>
    <col min="263" max="263" width="14" style="69" customWidth="1"/>
    <col min="264" max="264" width="15" style="69" customWidth="1"/>
    <col min="265" max="265" width="15.21875" style="69" customWidth="1"/>
    <col min="266" max="266" width="1.88671875" style="69" customWidth="1"/>
    <col min="267" max="267" width="10.5546875" style="69" customWidth="1"/>
    <col min="268" max="272" width="8" style="69" customWidth="1"/>
    <col min="273" max="512" width="9.109375" style="69" hidden="1"/>
    <col min="513" max="513" width="6.88671875" style="69" customWidth="1"/>
    <col min="514" max="514" width="23.33203125" style="69" customWidth="1"/>
    <col min="515" max="515" width="42.88671875" style="69" customWidth="1"/>
    <col min="516" max="516" width="14" style="69" customWidth="1"/>
    <col min="517" max="517" width="14.109375" style="69" customWidth="1"/>
    <col min="518" max="518" width="13" style="69" customWidth="1"/>
    <col min="519" max="519" width="14" style="69" customWidth="1"/>
    <col min="520" max="520" width="15" style="69" customWidth="1"/>
    <col min="521" max="521" width="15.21875" style="69" customWidth="1"/>
    <col min="522" max="522" width="1.88671875" style="69" customWidth="1"/>
    <col min="523" max="523" width="10.5546875" style="69" customWidth="1"/>
    <col min="524" max="528" width="8" style="69" customWidth="1"/>
    <col min="529" max="768" width="9.109375" style="69" hidden="1"/>
    <col min="769" max="769" width="6.88671875" style="69" customWidth="1"/>
    <col min="770" max="770" width="23.33203125" style="69" customWidth="1"/>
    <col min="771" max="771" width="42.88671875" style="69" customWidth="1"/>
    <col min="772" max="772" width="14" style="69" customWidth="1"/>
    <col min="773" max="773" width="14.109375" style="69" customWidth="1"/>
    <col min="774" max="774" width="13" style="69" customWidth="1"/>
    <col min="775" max="775" width="14" style="69" customWidth="1"/>
    <col min="776" max="776" width="15" style="69" customWidth="1"/>
    <col min="777" max="777" width="15.21875" style="69" customWidth="1"/>
    <col min="778" max="778" width="1.88671875" style="69" customWidth="1"/>
    <col min="779" max="779" width="10.5546875" style="69" customWidth="1"/>
    <col min="780" max="784" width="8" style="69" customWidth="1"/>
    <col min="785" max="1024" width="9.109375" style="69" hidden="1"/>
    <col min="1025" max="1025" width="6.88671875" style="69" customWidth="1"/>
    <col min="1026" max="1026" width="23.33203125" style="69" customWidth="1"/>
    <col min="1027" max="1027" width="42.88671875" style="69" customWidth="1"/>
    <col min="1028" max="1028" width="14" style="69" customWidth="1"/>
    <col min="1029" max="1029" width="14.109375" style="69" customWidth="1"/>
    <col min="1030" max="1030" width="13" style="69" customWidth="1"/>
    <col min="1031" max="1031" width="14" style="69" customWidth="1"/>
    <col min="1032" max="1032" width="15" style="69" customWidth="1"/>
    <col min="1033" max="1033" width="15.21875" style="69" customWidth="1"/>
    <col min="1034" max="1034" width="1.88671875" style="69" customWidth="1"/>
    <col min="1035" max="1035" width="10.5546875" style="69" customWidth="1"/>
    <col min="1036" max="1040" width="8" style="69" customWidth="1"/>
    <col min="1041" max="1280" width="9.109375" style="69" hidden="1"/>
    <col min="1281" max="1281" width="6.88671875" style="69" customWidth="1"/>
    <col min="1282" max="1282" width="23.33203125" style="69" customWidth="1"/>
    <col min="1283" max="1283" width="42.88671875" style="69" customWidth="1"/>
    <col min="1284" max="1284" width="14" style="69" customWidth="1"/>
    <col min="1285" max="1285" width="14.109375" style="69" customWidth="1"/>
    <col min="1286" max="1286" width="13" style="69" customWidth="1"/>
    <col min="1287" max="1287" width="14" style="69" customWidth="1"/>
    <col min="1288" max="1288" width="15" style="69" customWidth="1"/>
    <col min="1289" max="1289" width="15.21875" style="69" customWidth="1"/>
    <col min="1290" max="1290" width="1.88671875" style="69" customWidth="1"/>
    <col min="1291" max="1291" width="10.5546875" style="69" customWidth="1"/>
    <col min="1292" max="1296" width="8" style="69" customWidth="1"/>
    <col min="1297" max="1536" width="9.109375" style="69" hidden="1"/>
    <col min="1537" max="1537" width="6.88671875" style="69" customWidth="1"/>
    <col min="1538" max="1538" width="23.33203125" style="69" customWidth="1"/>
    <col min="1539" max="1539" width="42.88671875" style="69" customWidth="1"/>
    <col min="1540" max="1540" width="14" style="69" customWidth="1"/>
    <col min="1541" max="1541" width="14.109375" style="69" customWidth="1"/>
    <col min="1542" max="1542" width="13" style="69" customWidth="1"/>
    <col min="1543" max="1543" width="14" style="69" customWidth="1"/>
    <col min="1544" max="1544" width="15" style="69" customWidth="1"/>
    <col min="1545" max="1545" width="15.21875" style="69" customWidth="1"/>
    <col min="1546" max="1546" width="1.88671875" style="69" customWidth="1"/>
    <col min="1547" max="1547" width="10.5546875" style="69" customWidth="1"/>
    <col min="1548" max="1552" width="8" style="69" customWidth="1"/>
    <col min="1553" max="1792" width="9.109375" style="69" hidden="1"/>
    <col min="1793" max="1793" width="6.88671875" style="69" customWidth="1"/>
    <col min="1794" max="1794" width="23.33203125" style="69" customWidth="1"/>
    <col min="1795" max="1795" width="42.88671875" style="69" customWidth="1"/>
    <col min="1796" max="1796" width="14" style="69" customWidth="1"/>
    <col min="1797" max="1797" width="14.109375" style="69" customWidth="1"/>
    <col min="1798" max="1798" width="13" style="69" customWidth="1"/>
    <col min="1799" max="1799" width="14" style="69" customWidth="1"/>
    <col min="1800" max="1800" width="15" style="69" customWidth="1"/>
    <col min="1801" max="1801" width="15.21875" style="69" customWidth="1"/>
    <col min="1802" max="1802" width="1.88671875" style="69" customWidth="1"/>
    <col min="1803" max="1803" width="10.5546875" style="69" customWidth="1"/>
    <col min="1804" max="1808" width="8" style="69" customWidth="1"/>
    <col min="1809" max="2048" width="9.109375" style="69" hidden="1"/>
    <col min="2049" max="2049" width="6.88671875" style="69" customWidth="1"/>
    <col min="2050" max="2050" width="23.33203125" style="69" customWidth="1"/>
    <col min="2051" max="2051" width="42.88671875" style="69" customWidth="1"/>
    <col min="2052" max="2052" width="14" style="69" customWidth="1"/>
    <col min="2053" max="2053" width="14.109375" style="69" customWidth="1"/>
    <col min="2054" max="2054" width="13" style="69" customWidth="1"/>
    <col min="2055" max="2055" width="14" style="69" customWidth="1"/>
    <col min="2056" max="2056" width="15" style="69" customWidth="1"/>
    <col min="2057" max="2057" width="15.21875" style="69" customWidth="1"/>
    <col min="2058" max="2058" width="1.88671875" style="69" customWidth="1"/>
    <col min="2059" max="2059" width="10.5546875" style="69" customWidth="1"/>
    <col min="2060" max="2064" width="8" style="69" customWidth="1"/>
    <col min="2065" max="2304" width="9.109375" style="69" hidden="1"/>
    <col min="2305" max="2305" width="6.88671875" style="69" customWidth="1"/>
    <col min="2306" max="2306" width="23.33203125" style="69" customWidth="1"/>
    <col min="2307" max="2307" width="42.88671875" style="69" customWidth="1"/>
    <col min="2308" max="2308" width="14" style="69" customWidth="1"/>
    <col min="2309" max="2309" width="14.109375" style="69" customWidth="1"/>
    <col min="2310" max="2310" width="13" style="69" customWidth="1"/>
    <col min="2311" max="2311" width="14" style="69" customWidth="1"/>
    <col min="2312" max="2312" width="15" style="69" customWidth="1"/>
    <col min="2313" max="2313" width="15.21875" style="69" customWidth="1"/>
    <col min="2314" max="2314" width="1.88671875" style="69" customWidth="1"/>
    <col min="2315" max="2315" width="10.5546875" style="69" customWidth="1"/>
    <col min="2316" max="2320" width="8" style="69" customWidth="1"/>
    <col min="2321" max="2560" width="9.109375" style="69" hidden="1"/>
    <col min="2561" max="2561" width="6.88671875" style="69" customWidth="1"/>
    <col min="2562" max="2562" width="23.33203125" style="69" customWidth="1"/>
    <col min="2563" max="2563" width="42.88671875" style="69" customWidth="1"/>
    <col min="2564" max="2564" width="14" style="69" customWidth="1"/>
    <col min="2565" max="2565" width="14.109375" style="69" customWidth="1"/>
    <col min="2566" max="2566" width="13" style="69" customWidth="1"/>
    <col min="2567" max="2567" width="14" style="69" customWidth="1"/>
    <col min="2568" max="2568" width="15" style="69" customWidth="1"/>
    <col min="2569" max="2569" width="15.21875" style="69" customWidth="1"/>
    <col min="2570" max="2570" width="1.88671875" style="69" customWidth="1"/>
    <col min="2571" max="2571" width="10.5546875" style="69" customWidth="1"/>
    <col min="2572" max="2576" width="8" style="69" customWidth="1"/>
    <col min="2577" max="2816" width="9.109375" style="69" hidden="1"/>
    <col min="2817" max="2817" width="6.88671875" style="69" customWidth="1"/>
    <col min="2818" max="2818" width="23.33203125" style="69" customWidth="1"/>
    <col min="2819" max="2819" width="42.88671875" style="69" customWidth="1"/>
    <col min="2820" max="2820" width="14" style="69" customWidth="1"/>
    <col min="2821" max="2821" width="14.109375" style="69" customWidth="1"/>
    <col min="2822" max="2822" width="13" style="69" customWidth="1"/>
    <col min="2823" max="2823" width="14" style="69" customWidth="1"/>
    <col min="2824" max="2824" width="15" style="69" customWidth="1"/>
    <col min="2825" max="2825" width="15.21875" style="69" customWidth="1"/>
    <col min="2826" max="2826" width="1.88671875" style="69" customWidth="1"/>
    <col min="2827" max="2827" width="10.5546875" style="69" customWidth="1"/>
    <col min="2828" max="2832" width="8" style="69" customWidth="1"/>
    <col min="2833" max="3072" width="9.109375" style="69" hidden="1"/>
    <col min="3073" max="3073" width="6.88671875" style="69" customWidth="1"/>
    <col min="3074" max="3074" width="23.33203125" style="69" customWidth="1"/>
    <col min="3075" max="3075" width="42.88671875" style="69" customWidth="1"/>
    <col min="3076" max="3076" width="14" style="69" customWidth="1"/>
    <col min="3077" max="3077" width="14.109375" style="69" customWidth="1"/>
    <col min="3078" max="3078" width="13" style="69" customWidth="1"/>
    <col min="3079" max="3079" width="14" style="69" customWidth="1"/>
    <col min="3080" max="3080" width="15" style="69" customWidth="1"/>
    <col min="3081" max="3081" width="15.21875" style="69" customWidth="1"/>
    <col min="3082" max="3082" width="1.88671875" style="69" customWidth="1"/>
    <col min="3083" max="3083" width="10.5546875" style="69" customWidth="1"/>
    <col min="3084" max="3088" width="8" style="69" customWidth="1"/>
    <col min="3089" max="3328" width="9.109375" style="69" hidden="1"/>
    <col min="3329" max="3329" width="6.88671875" style="69" customWidth="1"/>
    <col min="3330" max="3330" width="23.33203125" style="69" customWidth="1"/>
    <col min="3331" max="3331" width="42.88671875" style="69" customWidth="1"/>
    <col min="3332" max="3332" width="14" style="69" customWidth="1"/>
    <col min="3333" max="3333" width="14.109375" style="69" customWidth="1"/>
    <col min="3334" max="3334" width="13" style="69" customWidth="1"/>
    <col min="3335" max="3335" width="14" style="69" customWidth="1"/>
    <col min="3336" max="3336" width="15" style="69" customWidth="1"/>
    <col min="3337" max="3337" width="15.21875" style="69" customWidth="1"/>
    <col min="3338" max="3338" width="1.88671875" style="69" customWidth="1"/>
    <col min="3339" max="3339" width="10.5546875" style="69" customWidth="1"/>
    <col min="3340" max="3344" width="8" style="69" customWidth="1"/>
    <col min="3345" max="3584" width="9.109375" style="69" hidden="1"/>
    <col min="3585" max="3585" width="6.88671875" style="69" customWidth="1"/>
    <col min="3586" max="3586" width="23.33203125" style="69" customWidth="1"/>
    <col min="3587" max="3587" width="42.88671875" style="69" customWidth="1"/>
    <col min="3588" max="3588" width="14" style="69" customWidth="1"/>
    <col min="3589" max="3589" width="14.109375" style="69" customWidth="1"/>
    <col min="3590" max="3590" width="13" style="69" customWidth="1"/>
    <col min="3591" max="3591" width="14" style="69" customWidth="1"/>
    <col min="3592" max="3592" width="15" style="69" customWidth="1"/>
    <col min="3593" max="3593" width="15.21875" style="69" customWidth="1"/>
    <col min="3594" max="3594" width="1.88671875" style="69" customWidth="1"/>
    <col min="3595" max="3595" width="10.5546875" style="69" customWidth="1"/>
    <col min="3596" max="3600" width="8" style="69" customWidth="1"/>
    <col min="3601" max="3840" width="9.109375" style="69" hidden="1"/>
    <col min="3841" max="3841" width="6.88671875" style="69" customWidth="1"/>
    <col min="3842" max="3842" width="23.33203125" style="69" customWidth="1"/>
    <col min="3843" max="3843" width="42.88671875" style="69" customWidth="1"/>
    <col min="3844" max="3844" width="14" style="69" customWidth="1"/>
    <col min="3845" max="3845" width="14.109375" style="69" customWidth="1"/>
    <col min="3846" max="3846" width="13" style="69" customWidth="1"/>
    <col min="3847" max="3847" width="14" style="69" customWidth="1"/>
    <col min="3848" max="3848" width="15" style="69" customWidth="1"/>
    <col min="3849" max="3849" width="15.21875" style="69" customWidth="1"/>
    <col min="3850" max="3850" width="1.88671875" style="69" customWidth="1"/>
    <col min="3851" max="3851" width="10.5546875" style="69" customWidth="1"/>
    <col min="3852" max="3856" width="8" style="69" customWidth="1"/>
    <col min="3857" max="4096" width="9.109375" style="69" hidden="1"/>
    <col min="4097" max="4097" width="6.88671875" style="69" customWidth="1"/>
    <col min="4098" max="4098" width="23.33203125" style="69" customWidth="1"/>
    <col min="4099" max="4099" width="42.88671875" style="69" customWidth="1"/>
    <col min="4100" max="4100" width="14" style="69" customWidth="1"/>
    <col min="4101" max="4101" width="14.109375" style="69" customWidth="1"/>
    <col min="4102" max="4102" width="13" style="69" customWidth="1"/>
    <col min="4103" max="4103" width="14" style="69" customWidth="1"/>
    <col min="4104" max="4104" width="15" style="69" customWidth="1"/>
    <col min="4105" max="4105" width="15.21875" style="69" customWidth="1"/>
    <col min="4106" max="4106" width="1.88671875" style="69" customWidth="1"/>
    <col min="4107" max="4107" width="10.5546875" style="69" customWidth="1"/>
    <col min="4108" max="4112" width="8" style="69" customWidth="1"/>
    <col min="4113" max="4352" width="9.109375" style="69" hidden="1"/>
    <col min="4353" max="4353" width="6.88671875" style="69" customWidth="1"/>
    <col min="4354" max="4354" width="23.33203125" style="69" customWidth="1"/>
    <col min="4355" max="4355" width="42.88671875" style="69" customWidth="1"/>
    <col min="4356" max="4356" width="14" style="69" customWidth="1"/>
    <col min="4357" max="4357" width="14.109375" style="69" customWidth="1"/>
    <col min="4358" max="4358" width="13" style="69" customWidth="1"/>
    <col min="4359" max="4359" width="14" style="69" customWidth="1"/>
    <col min="4360" max="4360" width="15" style="69" customWidth="1"/>
    <col min="4361" max="4361" width="15.21875" style="69" customWidth="1"/>
    <col min="4362" max="4362" width="1.88671875" style="69" customWidth="1"/>
    <col min="4363" max="4363" width="10.5546875" style="69" customWidth="1"/>
    <col min="4364" max="4368" width="8" style="69" customWidth="1"/>
    <col min="4369" max="4608" width="9.109375" style="69" hidden="1"/>
    <col min="4609" max="4609" width="6.88671875" style="69" customWidth="1"/>
    <col min="4610" max="4610" width="23.33203125" style="69" customWidth="1"/>
    <col min="4611" max="4611" width="42.88671875" style="69" customWidth="1"/>
    <col min="4612" max="4612" width="14" style="69" customWidth="1"/>
    <col min="4613" max="4613" width="14.109375" style="69" customWidth="1"/>
    <col min="4614" max="4614" width="13" style="69" customWidth="1"/>
    <col min="4615" max="4615" width="14" style="69" customWidth="1"/>
    <col min="4616" max="4616" width="15" style="69" customWidth="1"/>
    <col min="4617" max="4617" width="15.21875" style="69" customWidth="1"/>
    <col min="4618" max="4618" width="1.88671875" style="69" customWidth="1"/>
    <col min="4619" max="4619" width="10.5546875" style="69" customWidth="1"/>
    <col min="4620" max="4624" width="8" style="69" customWidth="1"/>
    <col min="4625" max="4864" width="9.109375" style="69" hidden="1"/>
    <col min="4865" max="4865" width="6.88671875" style="69" customWidth="1"/>
    <col min="4866" max="4866" width="23.33203125" style="69" customWidth="1"/>
    <col min="4867" max="4867" width="42.88671875" style="69" customWidth="1"/>
    <col min="4868" max="4868" width="14" style="69" customWidth="1"/>
    <col min="4869" max="4869" width="14.109375" style="69" customWidth="1"/>
    <col min="4870" max="4870" width="13" style="69" customWidth="1"/>
    <col min="4871" max="4871" width="14" style="69" customWidth="1"/>
    <col min="4872" max="4872" width="15" style="69" customWidth="1"/>
    <col min="4873" max="4873" width="15.21875" style="69" customWidth="1"/>
    <col min="4874" max="4874" width="1.88671875" style="69" customWidth="1"/>
    <col min="4875" max="4875" width="10.5546875" style="69" customWidth="1"/>
    <col min="4876" max="4880" width="8" style="69" customWidth="1"/>
    <col min="4881" max="5120" width="9.109375" style="69" hidden="1"/>
    <col min="5121" max="5121" width="6.88671875" style="69" customWidth="1"/>
    <col min="5122" max="5122" width="23.33203125" style="69" customWidth="1"/>
    <col min="5123" max="5123" width="42.88671875" style="69" customWidth="1"/>
    <col min="5124" max="5124" width="14" style="69" customWidth="1"/>
    <col min="5125" max="5125" width="14.109375" style="69" customWidth="1"/>
    <col min="5126" max="5126" width="13" style="69" customWidth="1"/>
    <col min="5127" max="5127" width="14" style="69" customWidth="1"/>
    <col min="5128" max="5128" width="15" style="69" customWidth="1"/>
    <col min="5129" max="5129" width="15.21875" style="69" customWidth="1"/>
    <col min="5130" max="5130" width="1.88671875" style="69" customWidth="1"/>
    <col min="5131" max="5131" width="10.5546875" style="69" customWidth="1"/>
    <col min="5132" max="5136" width="8" style="69" customWidth="1"/>
    <col min="5137" max="5376" width="9.109375" style="69" hidden="1"/>
    <col min="5377" max="5377" width="6.88671875" style="69" customWidth="1"/>
    <col min="5378" max="5378" width="23.33203125" style="69" customWidth="1"/>
    <col min="5379" max="5379" width="42.88671875" style="69" customWidth="1"/>
    <col min="5380" max="5380" width="14" style="69" customWidth="1"/>
    <col min="5381" max="5381" width="14.109375" style="69" customWidth="1"/>
    <col min="5382" max="5382" width="13" style="69" customWidth="1"/>
    <col min="5383" max="5383" width="14" style="69" customWidth="1"/>
    <col min="5384" max="5384" width="15" style="69" customWidth="1"/>
    <col min="5385" max="5385" width="15.21875" style="69" customWidth="1"/>
    <col min="5386" max="5386" width="1.88671875" style="69" customWidth="1"/>
    <col min="5387" max="5387" width="10.5546875" style="69" customWidth="1"/>
    <col min="5388" max="5392" width="8" style="69" customWidth="1"/>
    <col min="5393" max="5632" width="9.109375" style="69" hidden="1"/>
    <col min="5633" max="5633" width="6.88671875" style="69" customWidth="1"/>
    <col min="5634" max="5634" width="23.33203125" style="69" customWidth="1"/>
    <col min="5635" max="5635" width="42.88671875" style="69" customWidth="1"/>
    <col min="5636" max="5636" width="14" style="69" customWidth="1"/>
    <col min="5637" max="5637" width="14.109375" style="69" customWidth="1"/>
    <col min="5638" max="5638" width="13" style="69" customWidth="1"/>
    <col min="5639" max="5639" width="14" style="69" customWidth="1"/>
    <col min="5640" max="5640" width="15" style="69" customWidth="1"/>
    <col min="5641" max="5641" width="15.21875" style="69" customWidth="1"/>
    <col min="5642" max="5642" width="1.88671875" style="69" customWidth="1"/>
    <col min="5643" max="5643" width="10.5546875" style="69" customWidth="1"/>
    <col min="5644" max="5648" width="8" style="69" customWidth="1"/>
    <col min="5649" max="5888" width="9.109375" style="69" hidden="1"/>
    <col min="5889" max="5889" width="6.88671875" style="69" customWidth="1"/>
    <col min="5890" max="5890" width="23.33203125" style="69" customWidth="1"/>
    <col min="5891" max="5891" width="42.88671875" style="69" customWidth="1"/>
    <col min="5892" max="5892" width="14" style="69" customWidth="1"/>
    <col min="5893" max="5893" width="14.109375" style="69" customWidth="1"/>
    <col min="5894" max="5894" width="13" style="69" customWidth="1"/>
    <col min="5895" max="5895" width="14" style="69" customWidth="1"/>
    <col min="5896" max="5896" width="15" style="69" customWidth="1"/>
    <col min="5897" max="5897" width="15.21875" style="69" customWidth="1"/>
    <col min="5898" max="5898" width="1.88671875" style="69" customWidth="1"/>
    <col min="5899" max="5899" width="10.5546875" style="69" customWidth="1"/>
    <col min="5900" max="5904" width="8" style="69" customWidth="1"/>
    <col min="5905" max="6144" width="9.109375" style="69" hidden="1"/>
    <col min="6145" max="6145" width="6.88671875" style="69" customWidth="1"/>
    <col min="6146" max="6146" width="23.33203125" style="69" customWidth="1"/>
    <col min="6147" max="6147" width="42.88671875" style="69" customWidth="1"/>
    <col min="6148" max="6148" width="14" style="69" customWidth="1"/>
    <col min="6149" max="6149" width="14.109375" style="69" customWidth="1"/>
    <col min="6150" max="6150" width="13" style="69" customWidth="1"/>
    <col min="6151" max="6151" width="14" style="69" customWidth="1"/>
    <col min="6152" max="6152" width="15" style="69" customWidth="1"/>
    <col min="6153" max="6153" width="15.21875" style="69" customWidth="1"/>
    <col min="6154" max="6154" width="1.88671875" style="69" customWidth="1"/>
    <col min="6155" max="6155" width="10.5546875" style="69" customWidth="1"/>
    <col min="6156" max="6160" width="8" style="69" customWidth="1"/>
    <col min="6161" max="6400" width="9.109375" style="69" hidden="1"/>
    <col min="6401" max="6401" width="6.88671875" style="69" customWidth="1"/>
    <col min="6402" max="6402" width="23.33203125" style="69" customWidth="1"/>
    <col min="6403" max="6403" width="42.88671875" style="69" customWidth="1"/>
    <col min="6404" max="6404" width="14" style="69" customWidth="1"/>
    <col min="6405" max="6405" width="14.109375" style="69" customWidth="1"/>
    <col min="6406" max="6406" width="13" style="69" customWidth="1"/>
    <col min="6407" max="6407" width="14" style="69" customWidth="1"/>
    <col min="6408" max="6408" width="15" style="69" customWidth="1"/>
    <col min="6409" max="6409" width="15.21875" style="69" customWidth="1"/>
    <col min="6410" max="6410" width="1.88671875" style="69" customWidth="1"/>
    <col min="6411" max="6411" width="10.5546875" style="69" customWidth="1"/>
    <col min="6412" max="6416" width="8" style="69" customWidth="1"/>
    <col min="6417" max="6656" width="9.109375" style="69" hidden="1"/>
    <col min="6657" max="6657" width="6.88671875" style="69" customWidth="1"/>
    <col min="6658" max="6658" width="23.33203125" style="69" customWidth="1"/>
    <col min="6659" max="6659" width="42.88671875" style="69" customWidth="1"/>
    <col min="6660" max="6660" width="14" style="69" customWidth="1"/>
    <col min="6661" max="6661" width="14.109375" style="69" customWidth="1"/>
    <col min="6662" max="6662" width="13" style="69" customWidth="1"/>
    <col min="6663" max="6663" width="14" style="69" customWidth="1"/>
    <col min="6664" max="6664" width="15" style="69" customWidth="1"/>
    <col min="6665" max="6665" width="15.21875" style="69" customWidth="1"/>
    <col min="6666" max="6666" width="1.88671875" style="69" customWidth="1"/>
    <col min="6667" max="6667" width="10.5546875" style="69" customWidth="1"/>
    <col min="6668" max="6672" width="8" style="69" customWidth="1"/>
    <col min="6673" max="6912" width="9.109375" style="69" hidden="1"/>
    <col min="6913" max="6913" width="6.88671875" style="69" customWidth="1"/>
    <col min="6914" max="6914" width="23.33203125" style="69" customWidth="1"/>
    <col min="6915" max="6915" width="42.88671875" style="69" customWidth="1"/>
    <col min="6916" max="6916" width="14" style="69" customWidth="1"/>
    <col min="6917" max="6917" width="14.109375" style="69" customWidth="1"/>
    <col min="6918" max="6918" width="13" style="69" customWidth="1"/>
    <col min="6919" max="6919" width="14" style="69" customWidth="1"/>
    <col min="6920" max="6920" width="15" style="69" customWidth="1"/>
    <col min="6921" max="6921" width="15.21875" style="69" customWidth="1"/>
    <col min="6922" max="6922" width="1.88671875" style="69" customWidth="1"/>
    <col min="6923" max="6923" width="10.5546875" style="69" customWidth="1"/>
    <col min="6924" max="6928" width="8" style="69" customWidth="1"/>
    <col min="6929" max="7168" width="9.109375" style="69" hidden="1"/>
    <col min="7169" max="7169" width="6.88671875" style="69" customWidth="1"/>
    <col min="7170" max="7170" width="23.33203125" style="69" customWidth="1"/>
    <col min="7171" max="7171" width="42.88671875" style="69" customWidth="1"/>
    <col min="7172" max="7172" width="14" style="69" customWidth="1"/>
    <col min="7173" max="7173" width="14.109375" style="69" customWidth="1"/>
    <col min="7174" max="7174" width="13" style="69" customWidth="1"/>
    <col min="7175" max="7175" width="14" style="69" customWidth="1"/>
    <col min="7176" max="7176" width="15" style="69" customWidth="1"/>
    <col min="7177" max="7177" width="15.21875" style="69" customWidth="1"/>
    <col min="7178" max="7178" width="1.88671875" style="69" customWidth="1"/>
    <col min="7179" max="7179" width="10.5546875" style="69" customWidth="1"/>
    <col min="7180" max="7184" width="8" style="69" customWidth="1"/>
    <col min="7185" max="7424" width="9.109375" style="69" hidden="1"/>
    <col min="7425" max="7425" width="6.88671875" style="69" customWidth="1"/>
    <col min="7426" max="7426" width="23.33203125" style="69" customWidth="1"/>
    <col min="7427" max="7427" width="42.88671875" style="69" customWidth="1"/>
    <col min="7428" max="7428" width="14" style="69" customWidth="1"/>
    <col min="7429" max="7429" width="14.109375" style="69" customWidth="1"/>
    <col min="7430" max="7430" width="13" style="69" customWidth="1"/>
    <col min="7431" max="7431" width="14" style="69" customWidth="1"/>
    <col min="7432" max="7432" width="15" style="69" customWidth="1"/>
    <col min="7433" max="7433" width="15.21875" style="69" customWidth="1"/>
    <col min="7434" max="7434" width="1.88671875" style="69" customWidth="1"/>
    <col min="7435" max="7435" width="10.5546875" style="69" customWidth="1"/>
    <col min="7436" max="7440" width="8" style="69" customWidth="1"/>
    <col min="7441" max="7680" width="9.109375" style="69" hidden="1"/>
    <col min="7681" max="7681" width="6.88671875" style="69" customWidth="1"/>
    <col min="7682" max="7682" width="23.33203125" style="69" customWidth="1"/>
    <col min="7683" max="7683" width="42.88671875" style="69" customWidth="1"/>
    <col min="7684" max="7684" width="14" style="69" customWidth="1"/>
    <col min="7685" max="7685" width="14.109375" style="69" customWidth="1"/>
    <col min="7686" max="7686" width="13" style="69" customWidth="1"/>
    <col min="7687" max="7687" width="14" style="69" customWidth="1"/>
    <col min="7688" max="7688" width="15" style="69" customWidth="1"/>
    <col min="7689" max="7689" width="15.21875" style="69" customWidth="1"/>
    <col min="7690" max="7690" width="1.88671875" style="69" customWidth="1"/>
    <col min="7691" max="7691" width="10.5546875" style="69" customWidth="1"/>
    <col min="7692" max="7696" width="8" style="69" customWidth="1"/>
    <col min="7697" max="7936" width="9.109375" style="69" hidden="1"/>
    <col min="7937" max="7937" width="6.88671875" style="69" customWidth="1"/>
    <col min="7938" max="7938" width="23.33203125" style="69" customWidth="1"/>
    <col min="7939" max="7939" width="42.88671875" style="69" customWidth="1"/>
    <col min="7940" max="7940" width="14" style="69" customWidth="1"/>
    <col min="7941" max="7941" width="14.109375" style="69" customWidth="1"/>
    <col min="7942" max="7942" width="13" style="69" customWidth="1"/>
    <col min="7943" max="7943" width="14" style="69" customWidth="1"/>
    <col min="7944" max="7944" width="15" style="69" customWidth="1"/>
    <col min="7945" max="7945" width="15.21875" style="69" customWidth="1"/>
    <col min="7946" max="7946" width="1.88671875" style="69" customWidth="1"/>
    <col min="7947" max="7947" width="10.5546875" style="69" customWidth="1"/>
    <col min="7948" max="7952" width="8" style="69" customWidth="1"/>
    <col min="7953" max="8192" width="9.109375" style="69" hidden="1"/>
    <col min="8193" max="8193" width="6.88671875" style="69" customWidth="1"/>
    <col min="8194" max="8194" width="23.33203125" style="69" customWidth="1"/>
    <col min="8195" max="8195" width="42.88671875" style="69" customWidth="1"/>
    <col min="8196" max="8196" width="14" style="69" customWidth="1"/>
    <col min="8197" max="8197" width="14.109375" style="69" customWidth="1"/>
    <col min="8198" max="8198" width="13" style="69" customWidth="1"/>
    <col min="8199" max="8199" width="14" style="69" customWidth="1"/>
    <col min="8200" max="8200" width="15" style="69" customWidth="1"/>
    <col min="8201" max="8201" width="15.21875" style="69" customWidth="1"/>
    <col min="8202" max="8202" width="1.88671875" style="69" customWidth="1"/>
    <col min="8203" max="8203" width="10.5546875" style="69" customWidth="1"/>
    <col min="8204" max="8208" width="8" style="69" customWidth="1"/>
    <col min="8209" max="8448" width="9.109375" style="69" hidden="1"/>
    <col min="8449" max="8449" width="6.88671875" style="69" customWidth="1"/>
    <col min="8450" max="8450" width="23.33203125" style="69" customWidth="1"/>
    <col min="8451" max="8451" width="42.88671875" style="69" customWidth="1"/>
    <col min="8452" max="8452" width="14" style="69" customWidth="1"/>
    <col min="8453" max="8453" width="14.109375" style="69" customWidth="1"/>
    <col min="8454" max="8454" width="13" style="69" customWidth="1"/>
    <col min="8455" max="8455" width="14" style="69" customWidth="1"/>
    <col min="8456" max="8456" width="15" style="69" customWidth="1"/>
    <col min="8457" max="8457" width="15.21875" style="69" customWidth="1"/>
    <col min="8458" max="8458" width="1.88671875" style="69" customWidth="1"/>
    <col min="8459" max="8459" width="10.5546875" style="69" customWidth="1"/>
    <col min="8460" max="8464" width="8" style="69" customWidth="1"/>
    <col min="8465" max="8704" width="9.109375" style="69" hidden="1"/>
    <col min="8705" max="8705" width="6.88671875" style="69" customWidth="1"/>
    <col min="8706" max="8706" width="23.33203125" style="69" customWidth="1"/>
    <col min="8707" max="8707" width="42.88671875" style="69" customWidth="1"/>
    <col min="8708" max="8708" width="14" style="69" customWidth="1"/>
    <col min="8709" max="8709" width="14.109375" style="69" customWidth="1"/>
    <col min="8710" max="8710" width="13" style="69" customWidth="1"/>
    <col min="8711" max="8711" width="14" style="69" customWidth="1"/>
    <col min="8712" max="8712" width="15" style="69" customWidth="1"/>
    <col min="8713" max="8713" width="15.21875" style="69" customWidth="1"/>
    <col min="8714" max="8714" width="1.88671875" style="69" customWidth="1"/>
    <col min="8715" max="8715" width="10.5546875" style="69" customWidth="1"/>
    <col min="8716" max="8720" width="8" style="69" customWidth="1"/>
    <col min="8721" max="8960" width="9.109375" style="69" hidden="1"/>
    <col min="8961" max="8961" width="6.88671875" style="69" customWidth="1"/>
    <col min="8962" max="8962" width="23.33203125" style="69" customWidth="1"/>
    <col min="8963" max="8963" width="42.88671875" style="69" customWidth="1"/>
    <col min="8964" max="8964" width="14" style="69" customWidth="1"/>
    <col min="8965" max="8965" width="14.109375" style="69" customWidth="1"/>
    <col min="8966" max="8966" width="13" style="69" customWidth="1"/>
    <col min="8967" max="8967" width="14" style="69" customWidth="1"/>
    <col min="8968" max="8968" width="15" style="69" customWidth="1"/>
    <col min="8969" max="8969" width="15.21875" style="69" customWidth="1"/>
    <col min="8970" max="8970" width="1.88671875" style="69" customWidth="1"/>
    <col min="8971" max="8971" width="10.5546875" style="69" customWidth="1"/>
    <col min="8972" max="8976" width="8" style="69" customWidth="1"/>
    <col min="8977" max="9216" width="9.109375" style="69" hidden="1"/>
    <col min="9217" max="9217" width="6.88671875" style="69" customWidth="1"/>
    <col min="9218" max="9218" width="23.33203125" style="69" customWidth="1"/>
    <col min="9219" max="9219" width="42.88671875" style="69" customWidth="1"/>
    <col min="9220" max="9220" width="14" style="69" customWidth="1"/>
    <col min="9221" max="9221" width="14.109375" style="69" customWidth="1"/>
    <col min="9222" max="9222" width="13" style="69" customWidth="1"/>
    <col min="9223" max="9223" width="14" style="69" customWidth="1"/>
    <col min="9224" max="9224" width="15" style="69" customWidth="1"/>
    <col min="9225" max="9225" width="15.21875" style="69" customWidth="1"/>
    <col min="9226" max="9226" width="1.88671875" style="69" customWidth="1"/>
    <col min="9227" max="9227" width="10.5546875" style="69" customWidth="1"/>
    <col min="9228" max="9232" width="8" style="69" customWidth="1"/>
    <col min="9233" max="9472" width="9.109375" style="69" hidden="1"/>
    <col min="9473" max="9473" width="6.88671875" style="69" customWidth="1"/>
    <col min="9474" max="9474" width="23.33203125" style="69" customWidth="1"/>
    <col min="9475" max="9475" width="42.88671875" style="69" customWidth="1"/>
    <col min="9476" max="9476" width="14" style="69" customWidth="1"/>
    <col min="9477" max="9477" width="14.109375" style="69" customWidth="1"/>
    <col min="9478" max="9478" width="13" style="69" customWidth="1"/>
    <col min="9479" max="9479" width="14" style="69" customWidth="1"/>
    <col min="9480" max="9480" width="15" style="69" customWidth="1"/>
    <col min="9481" max="9481" width="15.21875" style="69" customWidth="1"/>
    <col min="9482" max="9482" width="1.88671875" style="69" customWidth="1"/>
    <col min="9483" max="9483" width="10.5546875" style="69" customWidth="1"/>
    <col min="9484" max="9488" width="8" style="69" customWidth="1"/>
    <col min="9489" max="9728" width="9.109375" style="69" hidden="1"/>
    <col min="9729" max="9729" width="6.88671875" style="69" customWidth="1"/>
    <col min="9730" max="9730" width="23.33203125" style="69" customWidth="1"/>
    <col min="9731" max="9731" width="42.88671875" style="69" customWidth="1"/>
    <col min="9732" max="9732" width="14" style="69" customWidth="1"/>
    <col min="9733" max="9733" width="14.109375" style="69" customWidth="1"/>
    <col min="9734" max="9734" width="13" style="69" customWidth="1"/>
    <col min="9735" max="9735" width="14" style="69" customWidth="1"/>
    <col min="9736" max="9736" width="15" style="69" customWidth="1"/>
    <col min="9737" max="9737" width="15.21875" style="69" customWidth="1"/>
    <col min="9738" max="9738" width="1.88671875" style="69" customWidth="1"/>
    <col min="9739" max="9739" width="10.5546875" style="69" customWidth="1"/>
    <col min="9740" max="9744" width="8" style="69" customWidth="1"/>
    <col min="9745" max="9984" width="9.109375" style="69" hidden="1"/>
    <col min="9985" max="9985" width="6.88671875" style="69" customWidth="1"/>
    <col min="9986" max="9986" width="23.33203125" style="69" customWidth="1"/>
    <col min="9987" max="9987" width="42.88671875" style="69" customWidth="1"/>
    <col min="9988" max="9988" width="14" style="69" customWidth="1"/>
    <col min="9989" max="9989" width="14.109375" style="69" customWidth="1"/>
    <col min="9990" max="9990" width="13" style="69" customWidth="1"/>
    <col min="9991" max="9991" width="14" style="69" customWidth="1"/>
    <col min="9992" max="9992" width="15" style="69" customWidth="1"/>
    <col min="9993" max="9993" width="15.21875" style="69" customWidth="1"/>
    <col min="9994" max="9994" width="1.88671875" style="69" customWidth="1"/>
    <col min="9995" max="9995" width="10.5546875" style="69" customWidth="1"/>
    <col min="9996" max="10000" width="8" style="69" customWidth="1"/>
    <col min="10001" max="10240" width="9.109375" style="69" hidden="1"/>
    <col min="10241" max="10241" width="6.88671875" style="69" customWidth="1"/>
    <col min="10242" max="10242" width="23.33203125" style="69" customWidth="1"/>
    <col min="10243" max="10243" width="42.88671875" style="69" customWidth="1"/>
    <col min="10244" max="10244" width="14" style="69" customWidth="1"/>
    <col min="10245" max="10245" width="14.109375" style="69" customWidth="1"/>
    <col min="10246" max="10246" width="13" style="69" customWidth="1"/>
    <col min="10247" max="10247" width="14" style="69" customWidth="1"/>
    <col min="10248" max="10248" width="15" style="69" customWidth="1"/>
    <col min="10249" max="10249" width="15.21875" style="69" customWidth="1"/>
    <col min="10250" max="10250" width="1.88671875" style="69" customWidth="1"/>
    <col min="10251" max="10251" width="10.5546875" style="69" customWidth="1"/>
    <col min="10252" max="10256" width="8" style="69" customWidth="1"/>
    <col min="10257" max="10496" width="9.109375" style="69" hidden="1"/>
    <col min="10497" max="10497" width="6.88671875" style="69" customWidth="1"/>
    <col min="10498" max="10498" width="23.33203125" style="69" customWidth="1"/>
    <col min="10499" max="10499" width="42.88671875" style="69" customWidth="1"/>
    <col min="10500" max="10500" width="14" style="69" customWidth="1"/>
    <col min="10501" max="10501" width="14.109375" style="69" customWidth="1"/>
    <col min="10502" max="10502" width="13" style="69" customWidth="1"/>
    <col min="10503" max="10503" width="14" style="69" customWidth="1"/>
    <col min="10504" max="10504" width="15" style="69" customWidth="1"/>
    <col min="10505" max="10505" width="15.21875" style="69" customWidth="1"/>
    <col min="10506" max="10506" width="1.88671875" style="69" customWidth="1"/>
    <col min="10507" max="10507" width="10.5546875" style="69" customWidth="1"/>
    <col min="10508" max="10512" width="8" style="69" customWidth="1"/>
    <col min="10513" max="10752" width="9.109375" style="69" hidden="1"/>
    <col min="10753" max="10753" width="6.88671875" style="69" customWidth="1"/>
    <col min="10754" max="10754" width="23.33203125" style="69" customWidth="1"/>
    <col min="10755" max="10755" width="42.88671875" style="69" customWidth="1"/>
    <col min="10756" max="10756" width="14" style="69" customWidth="1"/>
    <col min="10757" max="10757" width="14.109375" style="69" customWidth="1"/>
    <col min="10758" max="10758" width="13" style="69" customWidth="1"/>
    <col min="10759" max="10759" width="14" style="69" customWidth="1"/>
    <col min="10760" max="10760" width="15" style="69" customWidth="1"/>
    <col min="10761" max="10761" width="15.21875" style="69" customWidth="1"/>
    <col min="10762" max="10762" width="1.88671875" style="69" customWidth="1"/>
    <col min="10763" max="10763" width="10.5546875" style="69" customWidth="1"/>
    <col min="10764" max="10768" width="8" style="69" customWidth="1"/>
    <col min="10769" max="11008" width="9.109375" style="69" hidden="1"/>
    <col min="11009" max="11009" width="6.88671875" style="69" customWidth="1"/>
    <col min="11010" max="11010" width="23.33203125" style="69" customWidth="1"/>
    <col min="11011" max="11011" width="42.88671875" style="69" customWidth="1"/>
    <col min="11012" max="11012" width="14" style="69" customWidth="1"/>
    <col min="11013" max="11013" width="14.109375" style="69" customWidth="1"/>
    <col min="11014" max="11014" width="13" style="69" customWidth="1"/>
    <col min="11015" max="11015" width="14" style="69" customWidth="1"/>
    <col min="11016" max="11016" width="15" style="69" customWidth="1"/>
    <col min="11017" max="11017" width="15.21875" style="69" customWidth="1"/>
    <col min="11018" max="11018" width="1.88671875" style="69" customWidth="1"/>
    <col min="11019" max="11019" width="10.5546875" style="69" customWidth="1"/>
    <col min="11020" max="11024" width="8" style="69" customWidth="1"/>
    <col min="11025" max="11264" width="9.109375" style="69" hidden="1"/>
    <col min="11265" max="11265" width="6.88671875" style="69" customWidth="1"/>
    <col min="11266" max="11266" width="23.33203125" style="69" customWidth="1"/>
    <col min="11267" max="11267" width="42.88671875" style="69" customWidth="1"/>
    <col min="11268" max="11268" width="14" style="69" customWidth="1"/>
    <col min="11269" max="11269" width="14.109375" style="69" customWidth="1"/>
    <col min="11270" max="11270" width="13" style="69" customWidth="1"/>
    <col min="11271" max="11271" width="14" style="69" customWidth="1"/>
    <col min="11272" max="11272" width="15" style="69" customWidth="1"/>
    <col min="11273" max="11273" width="15.21875" style="69" customWidth="1"/>
    <col min="11274" max="11274" width="1.88671875" style="69" customWidth="1"/>
    <col min="11275" max="11275" width="10.5546875" style="69" customWidth="1"/>
    <col min="11276" max="11280" width="8" style="69" customWidth="1"/>
    <col min="11281" max="11520" width="9.109375" style="69" hidden="1"/>
    <col min="11521" max="11521" width="6.88671875" style="69" customWidth="1"/>
    <col min="11522" max="11522" width="23.33203125" style="69" customWidth="1"/>
    <col min="11523" max="11523" width="42.88671875" style="69" customWidth="1"/>
    <col min="11524" max="11524" width="14" style="69" customWidth="1"/>
    <col min="11525" max="11525" width="14.109375" style="69" customWidth="1"/>
    <col min="11526" max="11526" width="13" style="69" customWidth="1"/>
    <col min="11527" max="11527" width="14" style="69" customWidth="1"/>
    <col min="11528" max="11528" width="15" style="69" customWidth="1"/>
    <col min="11529" max="11529" width="15.21875" style="69" customWidth="1"/>
    <col min="11530" max="11530" width="1.88671875" style="69" customWidth="1"/>
    <col min="11531" max="11531" width="10.5546875" style="69" customWidth="1"/>
    <col min="11532" max="11536" width="8" style="69" customWidth="1"/>
    <col min="11537" max="11776" width="9.109375" style="69" hidden="1"/>
    <col min="11777" max="11777" width="6.88671875" style="69" customWidth="1"/>
    <col min="11778" max="11778" width="23.33203125" style="69" customWidth="1"/>
    <col min="11779" max="11779" width="42.88671875" style="69" customWidth="1"/>
    <col min="11780" max="11780" width="14" style="69" customWidth="1"/>
    <col min="11781" max="11781" width="14.109375" style="69" customWidth="1"/>
    <col min="11782" max="11782" width="13" style="69" customWidth="1"/>
    <col min="11783" max="11783" width="14" style="69" customWidth="1"/>
    <col min="11784" max="11784" width="15" style="69" customWidth="1"/>
    <col min="11785" max="11785" width="15.21875" style="69" customWidth="1"/>
    <col min="11786" max="11786" width="1.88671875" style="69" customWidth="1"/>
    <col min="11787" max="11787" width="10.5546875" style="69" customWidth="1"/>
    <col min="11788" max="11792" width="8" style="69" customWidth="1"/>
    <col min="11793" max="12032" width="9.109375" style="69" hidden="1"/>
    <col min="12033" max="12033" width="6.88671875" style="69" customWidth="1"/>
    <col min="12034" max="12034" width="23.33203125" style="69" customWidth="1"/>
    <col min="12035" max="12035" width="42.88671875" style="69" customWidth="1"/>
    <col min="12036" max="12036" width="14" style="69" customWidth="1"/>
    <col min="12037" max="12037" width="14.109375" style="69" customWidth="1"/>
    <col min="12038" max="12038" width="13" style="69" customWidth="1"/>
    <col min="12039" max="12039" width="14" style="69" customWidth="1"/>
    <col min="12040" max="12040" width="15" style="69" customWidth="1"/>
    <col min="12041" max="12041" width="15.21875" style="69" customWidth="1"/>
    <col min="12042" max="12042" width="1.88671875" style="69" customWidth="1"/>
    <col min="12043" max="12043" width="10.5546875" style="69" customWidth="1"/>
    <col min="12044" max="12048" width="8" style="69" customWidth="1"/>
    <col min="12049" max="12288" width="9.109375" style="69" hidden="1"/>
    <col min="12289" max="12289" width="6.88671875" style="69" customWidth="1"/>
    <col min="12290" max="12290" width="23.33203125" style="69" customWidth="1"/>
    <col min="12291" max="12291" width="42.88671875" style="69" customWidth="1"/>
    <col min="12292" max="12292" width="14" style="69" customWidth="1"/>
    <col min="12293" max="12293" width="14.109375" style="69" customWidth="1"/>
    <col min="12294" max="12294" width="13" style="69" customWidth="1"/>
    <col min="12295" max="12295" width="14" style="69" customWidth="1"/>
    <col min="12296" max="12296" width="15" style="69" customWidth="1"/>
    <col min="12297" max="12297" width="15.21875" style="69" customWidth="1"/>
    <col min="12298" max="12298" width="1.88671875" style="69" customWidth="1"/>
    <col min="12299" max="12299" width="10.5546875" style="69" customWidth="1"/>
    <col min="12300" max="12304" width="8" style="69" customWidth="1"/>
    <col min="12305" max="12544" width="9.109375" style="69" hidden="1"/>
    <col min="12545" max="12545" width="6.88671875" style="69" customWidth="1"/>
    <col min="12546" max="12546" width="23.33203125" style="69" customWidth="1"/>
    <col min="12547" max="12547" width="42.88671875" style="69" customWidth="1"/>
    <col min="12548" max="12548" width="14" style="69" customWidth="1"/>
    <col min="12549" max="12549" width="14.109375" style="69" customWidth="1"/>
    <col min="12550" max="12550" width="13" style="69" customWidth="1"/>
    <col min="12551" max="12551" width="14" style="69" customWidth="1"/>
    <col min="12552" max="12552" width="15" style="69" customWidth="1"/>
    <col min="12553" max="12553" width="15.21875" style="69" customWidth="1"/>
    <col min="12554" max="12554" width="1.88671875" style="69" customWidth="1"/>
    <col min="12555" max="12555" width="10.5546875" style="69" customWidth="1"/>
    <col min="12556" max="12560" width="8" style="69" customWidth="1"/>
    <col min="12561" max="12800" width="9.109375" style="69" hidden="1"/>
    <col min="12801" max="12801" width="6.88671875" style="69" customWidth="1"/>
    <col min="12802" max="12802" width="23.33203125" style="69" customWidth="1"/>
    <col min="12803" max="12803" width="42.88671875" style="69" customWidth="1"/>
    <col min="12804" max="12804" width="14" style="69" customWidth="1"/>
    <col min="12805" max="12805" width="14.109375" style="69" customWidth="1"/>
    <col min="12806" max="12806" width="13" style="69" customWidth="1"/>
    <col min="12807" max="12807" width="14" style="69" customWidth="1"/>
    <col min="12808" max="12808" width="15" style="69" customWidth="1"/>
    <col min="12809" max="12809" width="15.21875" style="69" customWidth="1"/>
    <col min="12810" max="12810" width="1.88671875" style="69" customWidth="1"/>
    <col min="12811" max="12811" width="10.5546875" style="69" customWidth="1"/>
    <col min="12812" max="12816" width="8" style="69" customWidth="1"/>
    <col min="12817" max="13056" width="9.109375" style="69" hidden="1"/>
    <col min="13057" max="13057" width="6.88671875" style="69" customWidth="1"/>
    <col min="13058" max="13058" width="23.33203125" style="69" customWidth="1"/>
    <col min="13059" max="13059" width="42.88671875" style="69" customWidth="1"/>
    <col min="13060" max="13060" width="14" style="69" customWidth="1"/>
    <col min="13061" max="13061" width="14.109375" style="69" customWidth="1"/>
    <col min="13062" max="13062" width="13" style="69" customWidth="1"/>
    <col min="13063" max="13063" width="14" style="69" customWidth="1"/>
    <col min="13064" max="13064" width="15" style="69" customWidth="1"/>
    <col min="13065" max="13065" width="15.21875" style="69" customWidth="1"/>
    <col min="13066" max="13066" width="1.88671875" style="69" customWidth="1"/>
    <col min="13067" max="13067" width="10.5546875" style="69" customWidth="1"/>
    <col min="13068" max="13072" width="8" style="69" customWidth="1"/>
    <col min="13073" max="13312" width="9.109375" style="69" hidden="1"/>
    <col min="13313" max="13313" width="6.88671875" style="69" customWidth="1"/>
    <col min="13314" max="13314" width="23.33203125" style="69" customWidth="1"/>
    <col min="13315" max="13315" width="42.88671875" style="69" customWidth="1"/>
    <col min="13316" max="13316" width="14" style="69" customWidth="1"/>
    <col min="13317" max="13317" width="14.109375" style="69" customWidth="1"/>
    <col min="13318" max="13318" width="13" style="69" customWidth="1"/>
    <col min="13319" max="13319" width="14" style="69" customWidth="1"/>
    <col min="13320" max="13320" width="15" style="69" customWidth="1"/>
    <col min="13321" max="13321" width="15.21875" style="69" customWidth="1"/>
    <col min="13322" max="13322" width="1.88671875" style="69" customWidth="1"/>
    <col min="13323" max="13323" width="10.5546875" style="69" customWidth="1"/>
    <col min="13324" max="13328" width="8" style="69" customWidth="1"/>
    <col min="13329" max="13568" width="9.109375" style="69" hidden="1"/>
    <col min="13569" max="13569" width="6.88671875" style="69" customWidth="1"/>
    <col min="13570" max="13570" width="23.33203125" style="69" customWidth="1"/>
    <col min="13571" max="13571" width="42.88671875" style="69" customWidth="1"/>
    <col min="13572" max="13572" width="14" style="69" customWidth="1"/>
    <col min="13573" max="13573" width="14.109375" style="69" customWidth="1"/>
    <col min="13574" max="13574" width="13" style="69" customWidth="1"/>
    <col min="13575" max="13575" width="14" style="69" customWidth="1"/>
    <col min="13576" max="13576" width="15" style="69" customWidth="1"/>
    <col min="13577" max="13577" width="15.21875" style="69" customWidth="1"/>
    <col min="13578" max="13578" width="1.88671875" style="69" customWidth="1"/>
    <col min="13579" max="13579" width="10.5546875" style="69" customWidth="1"/>
    <col min="13580" max="13584" width="8" style="69" customWidth="1"/>
    <col min="13585" max="13824" width="9.109375" style="69" hidden="1"/>
    <col min="13825" max="13825" width="6.88671875" style="69" customWidth="1"/>
    <col min="13826" max="13826" width="23.33203125" style="69" customWidth="1"/>
    <col min="13827" max="13827" width="42.88671875" style="69" customWidth="1"/>
    <col min="13828" max="13828" width="14" style="69" customWidth="1"/>
    <col min="13829" max="13829" width="14.109375" style="69" customWidth="1"/>
    <col min="13830" max="13830" width="13" style="69" customWidth="1"/>
    <col min="13831" max="13831" width="14" style="69" customWidth="1"/>
    <col min="13832" max="13832" width="15" style="69" customWidth="1"/>
    <col min="13833" max="13833" width="15.21875" style="69" customWidth="1"/>
    <col min="13834" max="13834" width="1.88671875" style="69" customWidth="1"/>
    <col min="13835" max="13835" width="10.5546875" style="69" customWidth="1"/>
    <col min="13836" max="13840" width="8" style="69" customWidth="1"/>
    <col min="13841" max="14080" width="9.109375" style="69" hidden="1"/>
    <col min="14081" max="14081" width="6.88671875" style="69" customWidth="1"/>
    <col min="14082" max="14082" width="23.33203125" style="69" customWidth="1"/>
    <col min="14083" max="14083" width="42.88671875" style="69" customWidth="1"/>
    <col min="14084" max="14084" width="14" style="69" customWidth="1"/>
    <col min="14085" max="14085" width="14.109375" style="69" customWidth="1"/>
    <col min="14086" max="14086" width="13" style="69" customWidth="1"/>
    <col min="14087" max="14087" width="14" style="69" customWidth="1"/>
    <col min="14088" max="14088" width="15" style="69" customWidth="1"/>
    <col min="14089" max="14089" width="15.21875" style="69" customWidth="1"/>
    <col min="14090" max="14090" width="1.88671875" style="69" customWidth="1"/>
    <col min="14091" max="14091" width="10.5546875" style="69" customWidth="1"/>
    <col min="14092" max="14096" width="8" style="69" customWidth="1"/>
    <col min="14097" max="14336" width="9.109375" style="69" hidden="1"/>
    <col min="14337" max="14337" width="6.88671875" style="69" customWidth="1"/>
    <col min="14338" max="14338" width="23.33203125" style="69" customWidth="1"/>
    <col min="14339" max="14339" width="42.88671875" style="69" customWidth="1"/>
    <col min="14340" max="14340" width="14" style="69" customWidth="1"/>
    <col min="14341" max="14341" width="14.109375" style="69" customWidth="1"/>
    <col min="14342" max="14342" width="13" style="69" customWidth="1"/>
    <col min="14343" max="14343" width="14" style="69" customWidth="1"/>
    <col min="14344" max="14344" width="15" style="69" customWidth="1"/>
    <col min="14345" max="14345" width="15.21875" style="69" customWidth="1"/>
    <col min="14346" max="14346" width="1.88671875" style="69" customWidth="1"/>
    <col min="14347" max="14347" width="10.5546875" style="69" customWidth="1"/>
    <col min="14348" max="14352" width="8" style="69" customWidth="1"/>
    <col min="14353" max="14592" width="9.109375" style="69" hidden="1"/>
    <col min="14593" max="14593" width="6.88671875" style="69" customWidth="1"/>
    <col min="14594" max="14594" width="23.33203125" style="69" customWidth="1"/>
    <col min="14595" max="14595" width="42.88671875" style="69" customWidth="1"/>
    <col min="14596" max="14596" width="14" style="69" customWidth="1"/>
    <col min="14597" max="14597" width="14.109375" style="69" customWidth="1"/>
    <col min="14598" max="14598" width="13" style="69" customWidth="1"/>
    <col min="14599" max="14599" width="14" style="69" customWidth="1"/>
    <col min="14600" max="14600" width="15" style="69" customWidth="1"/>
    <col min="14601" max="14601" width="15.21875" style="69" customWidth="1"/>
    <col min="14602" max="14602" width="1.88671875" style="69" customWidth="1"/>
    <col min="14603" max="14603" width="10.5546875" style="69" customWidth="1"/>
    <col min="14604" max="14608" width="8" style="69" customWidth="1"/>
    <col min="14609" max="14848" width="9.109375" style="69" hidden="1"/>
    <col min="14849" max="14849" width="6.88671875" style="69" customWidth="1"/>
    <col min="14850" max="14850" width="23.33203125" style="69" customWidth="1"/>
    <col min="14851" max="14851" width="42.88671875" style="69" customWidth="1"/>
    <col min="14852" max="14852" width="14" style="69" customWidth="1"/>
    <col min="14853" max="14853" width="14.109375" style="69" customWidth="1"/>
    <col min="14854" max="14854" width="13" style="69" customWidth="1"/>
    <col min="14855" max="14855" width="14" style="69" customWidth="1"/>
    <col min="14856" max="14856" width="15" style="69" customWidth="1"/>
    <col min="14857" max="14857" width="15.21875" style="69" customWidth="1"/>
    <col min="14858" max="14858" width="1.88671875" style="69" customWidth="1"/>
    <col min="14859" max="14859" width="10.5546875" style="69" customWidth="1"/>
    <col min="14860" max="14864" width="8" style="69" customWidth="1"/>
    <col min="14865" max="15104" width="9.109375" style="69" hidden="1"/>
    <col min="15105" max="15105" width="6.88671875" style="69" customWidth="1"/>
    <col min="15106" max="15106" width="23.33203125" style="69" customWidth="1"/>
    <col min="15107" max="15107" width="42.88671875" style="69" customWidth="1"/>
    <col min="15108" max="15108" width="14" style="69" customWidth="1"/>
    <col min="15109" max="15109" width="14.109375" style="69" customWidth="1"/>
    <col min="15110" max="15110" width="13" style="69" customWidth="1"/>
    <col min="15111" max="15111" width="14" style="69" customWidth="1"/>
    <col min="15112" max="15112" width="15" style="69" customWidth="1"/>
    <col min="15113" max="15113" width="15.21875" style="69" customWidth="1"/>
    <col min="15114" max="15114" width="1.88671875" style="69" customWidth="1"/>
    <col min="15115" max="15115" width="10.5546875" style="69" customWidth="1"/>
    <col min="15116" max="15120" width="8" style="69" customWidth="1"/>
    <col min="15121" max="15360" width="9.109375" style="69" hidden="1"/>
    <col min="15361" max="15361" width="6.88671875" style="69" customWidth="1"/>
    <col min="15362" max="15362" width="23.33203125" style="69" customWidth="1"/>
    <col min="15363" max="15363" width="42.88671875" style="69" customWidth="1"/>
    <col min="15364" max="15364" width="14" style="69" customWidth="1"/>
    <col min="15365" max="15365" width="14.109375" style="69" customWidth="1"/>
    <col min="15366" max="15366" width="13" style="69" customWidth="1"/>
    <col min="15367" max="15367" width="14" style="69" customWidth="1"/>
    <col min="15368" max="15368" width="15" style="69" customWidth="1"/>
    <col min="15369" max="15369" width="15.21875" style="69" customWidth="1"/>
    <col min="15370" max="15370" width="1.88671875" style="69" customWidth="1"/>
    <col min="15371" max="15371" width="10.5546875" style="69" customWidth="1"/>
    <col min="15372" max="15376" width="8" style="69" customWidth="1"/>
    <col min="15377" max="15616" width="9.109375" style="69" hidden="1"/>
    <col min="15617" max="15617" width="6.88671875" style="69" customWidth="1"/>
    <col min="15618" max="15618" width="23.33203125" style="69" customWidth="1"/>
    <col min="15619" max="15619" width="42.88671875" style="69" customWidth="1"/>
    <col min="15620" max="15620" width="14" style="69" customWidth="1"/>
    <col min="15621" max="15621" width="14.109375" style="69" customWidth="1"/>
    <col min="15622" max="15622" width="13" style="69" customWidth="1"/>
    <col min="15623" max="15623" width="14" style="69" customWidth="1"/>
    <col min="15624" max="15624" width="15" style="69" customWidth="1"/>
    <col min="15625" max="15625" width="15.21875" style="69" customWidth="1"/>
    <col min="15626" max="15626" width="1.88671875" style="69" customWidth="1"/>
    <col min="15627" max="15627" width="10.5546875" style="69" customWidth="1"/>
    <col min="15628" max="15632" width="8" style="69" customWidth="1"/>
    <col min="15633" max="15872" width="9.109375" style="69" hidden="1"/>
    <col min="15873" max="15873" width="6.88671875" style="69" customWidth="1"/>
    <col min="15874" max="15874" width="23.33203125" style="69" customWidth="1"/>
    <col min="15875" max="15875" width="42.88671875" style="69" customWidth="1"/>
    <col min="15876" max="15876" width="14" style="69" customWidth="1"/>
    <col min="15877" max="15877" width="14.109375" style="69" customWidth="1"/>
    <col min="15878" max="15878" width="13" style="69" customWidth="1"/>
    <col min="15879" max="15879" width="14" style="69" customWidth="1"/>
    <col min="15880" max="15880" width="15" style="69" customWidth="1"/>
    <col min="15881" max="15881" width="15.21875" style="69" customWidth="1"/>
    <col min="15882" max="15882" width="1.88671875" style="69" customWidth="1"/>
    <col min="15883" max="15883" width="10.5546875" style="69" customWidth="1"/>
    <col min="15884" max="15888" width="8" style="69" customWidth="1"/>
    <col min="15889" max="16128" width="9.109375" style="69" hidden="1"/>
    <col min="16129" max="16129" width="6.88671875" style="69" customWidth="1"/>
    <col min="16130" max="16130" width="23.33203125" style="69" customWidth="1"/>
    <col min="16131" max="16131" width="42.88671875" style="69" customWidth="1"/>
    <col min="16132" max="16132" width="14" style="69" customWidth="1"/>
    <col min="16133" max="16133" width="14.109375" style="69" customWidth="1"/>
    <col min="16134" max="16134" width="13" style="69" customWidth="1"/>
    <col min="16135" max="16135" width="14" style="69" customWidth="1"/>
    <col min="16136" max="16136" width="15" style="69" customWidth="1"/>
    <col min="16137" max="16137" width="15.21875" style="69" customWidth="1"/>
    <col min="16138" max="16138" width="1.88671875" style="69" customWidth="1"/>
    <col min="16139" max="16139" width="10.5546875" style="69" customWidth="1"/>
    <col min="16140" max="16144" width="8" style="69" customWidth="1"/>
    <col min="16145" max="16146" width="0" style="69" hidden="1"/>
    <col min="16147" max="16384" width="9.109375" style="69" hidden="1"/>
  </cols>
  <sheetData>
    <row r="1" spans="1:246" s="226" customFormat="1" ht="22.8" customHeight="1">
      <c r="A1" s="222" t="s">
        <v>74</v>
      </c>
      <c r="B1" s="223"/>
      <c r="C1" s="223"/>
      <c r="D1" s="222"/>
      <c r="E1" s="224"/>
      <c r="F1" s="224"/>
      <c r="G1" s="224"/>
      <c r="H1" s="224"/>
      <c r="I1" s="225"/>
    </row>
    <row r="2" spans="1:246" s="226" customFormat="1" ht="22.8" customHeight="1">
      <c r="A2" s="222" t="s">
        <v>129</v>
      </c>
      <c r="B2" s="223"/>
      <c r="C2" s="223"/>
      <c r="D2" s="222"/>
      <c r="E2" s="224"/>
      <c r="F2" s="224"/>
      <c r="G2" s="224"/>
      <c r="H2" s="224"/>
      <c r="I2" s="225"/>
    </row>
    <row r="3" spans="1:246" s="226" customFormat="1" ht="22.8" customHeight="1">
      <c r="A3" s="226" t="s">
        <v>77</v>
      </c>
      <c r="B3" s="227"/>
      <c r="C3" s="228"/>
      <c r="D3" s="228"/>
      <c r="E3" s="229"/>
      <c r="F3" s="229"/>
      <c r="G3" s="230">
        <v>0.04</v>
      </c>
      <c r="H3" s="231"/>
    </row>
    <row r="4" spans="1:246" s="56" customFormat="1" ht="30" customHeight="1">
      <c r="A4" s="57" t="s">
        <v>0</v>
      </c>
      <c r="B4" s="98" t="s">
        <v>2</v>
      </c>
      <c r="C4" s="98" t="s">
        <v>6</v>
      </c>
      <c r="D4" s="98" t="s">
        <v>9</v>
      </c>
      <c r="E4" s="99" t="s">
        <v>26</v>
      </c>
      <c r="F4" s="100" t="s">
        <v>3</v>
      </c>
      <c r="G4" s="99" t="s">
        <v>29</v>
      </c>
      <c r="H4" s="101" t="s">
        <v>4</v>
      </c>
    </row>
    <row r="5" spans="1:246" s="302" customFormat="1" ht="19.95" customHeight="1">
      <c r="A5" s="92">
        <v>1</v>
      </c>
      <c r="B5" s="296" t="s">
        <v>107</v>
      </c>
      <c r="C5" s="102" t="s">
        <v>82</v>
      </c>
      <c r="D5" s="297" t="s">
        <v>75</v>
      </c>
      <c r="E5" s="103">
        <f>COUNTIFS(Table1351452010[[#All],[Sales]],"คุณนิมิต จุ้ยอยู่ทอง",Table1351452010[[#All],[Total
รายการเบิก
คอมขาย]],"&gt;0")</f>
        <v>0</v>
      </c>
      <c r="F5" s="298">
        <f>SUMIF(Table1351452010[[#All],[Sales]],"คุณนิมิต จุ้ยอยู่ทอง",Table1351452010[[#All],[Total
รายการเบิก
คอมขาย]])</f>
        <v>0</v>
      </c>
      <c r="G5" s="299">
        <f>F5*G3</f>
        <v>0</v>
      </c>
      <c r="H5" s="300">
        <f>F5-G5</f>
        <v>0</v>
      </c>
      <c r="I5" s="301"/>
      <c r="J5" s="322"/>
      <c r="L5" s="303"/>
    </row>
    <row r="6" spans="1:246" s="302" customFormat="1" ht="19.95" customHeight="1">
      <c r="A6" s="92"/>
      <c r="B6" s="304"/>
      <c r="C6" s="102" t="s">
        <v>83</v>
      </c>
      <c r="D6" s="305"/>
      <c r="E6" s="103">
        <f>COUNTIFS(Table1351452010[[#All],[Sales]],"คุณธวัช มีแสง",Table1351452010[[#All],[Total
รายการเบิก
คอมขาย]],"&gt;0")</f>
        <v>1</v>
      </c>
      <c r="F6" s="306">
        <f>SUMIF(Table1351452010[[#All],[Sales]],"คุณธวัช มีแสง",Table1351452010[[#All],[Total
รายการเบิก
คอมขาย]])</f>
        <v>2056.0700000000002</v>
      </c>
      <c r="G6" s="299">
        <f>F6*$G$3</f>
        <v>82.242800000000003</v>
      </c>
      <c r="H6" s="306">
        <f t="shared" ref="H6:H7" si="0">F6-G6</f>
        <v>1973.8272000000002</v>
      </c>
      <c r="I6" s="301"/>
      <c r="J6" s="307"/>
    </row>
    <row r="7" spans="1:246" s="302" customFormat="1" ht="19.95" customHeight="1">
      <c r="A7" s="92"/>
      <c r="B7" s="304"/>
      <c r="C7" s="102" t="s">
        <v>84</v>
      </c>
      <c r="D7" s="305"/>
      <c r="E7" s="103">
        <f>COUNTIFS(Table1351452010[[#All],[Sales]],"คุณแดง มูลสองแคว",Table1351452010[[#All],[Total
รายการเบิก
คอมขาย]],"&gt;0")</f>
        <v>0</v>
      </c>
      <c r="F7" s="298">
        <f>SUMIF(Table1351452010[[#All],[Sales]],"คุณแดง มูลสองแคว",Table1351452010[[#All],[Total
รายการเบิก
คอมขาย]])</f>
        <v>0</v>
      </c>
      <c r="G7" s="299">
        <f t="shared" ref="G7:G9" si="1">F7*$G$3</f>
        <v>0</v>
      </c>
      <c r="H7" s="300">
        <f t="shared" si="0"/>
        <v>0</v>
      </c>
      <c r="I7" s="308"/>
      <c r="J7" s="307"/>
    </row>
    <row r="8" spans="1:246" s="302" customFormat="1" ht="19.95" customHeight="1">
      <c r="A8" s="92"/>
      <c r="B8" s="304"/>
      <c r="C8" s="177" t="s">
        <v>85</v>
      </c>
      <c r="D8" s="305"/>
      <c r="E8" s="103">
        <f>COUNTIFS(Table1351452010[[#All],[Sales]],"คุณนิยนต์ อยู่ทะเล",Table1351452010[[#All],[Total
รายการเบิก
คอมขาย]],"&gt;0")</f>
        <v>0</v>
      </c>
      <c r="F8" s="298">
        <f>SUMIF(Table1351452010[[#All],[Sales]],"คุณนิยนต์ อยู่ทะเล",Table1351452010[[#All],[Total
รายการเบิก
คอมขาย]])</f>
        <v>0</v>
      </c>
      <c r="G8" s="299">
        <f t="shared" si="1"/>
        <v>0</v>
      </c>
      <c r="H8" s="300">
        <f t="shared" ref="H8" si="2">F8-G8</f>
        <v>0</v>
      </c>
      <c r="I8" s="308"/>
      <c r="J8" s="307"/>
    </row>
    <row r="9" spans="1:246" s="302" customFormat="1" ht="19.95" customHeight="1">
      <c r="A9" s="92"/>
      <c r="B9" s="304"/>
      <c r="C9" s="181" t="s">
        <v>78</v>
      </c>
      <c r="D9" s="305"/>
      <c r="E9" s="103">
        <f>COUNTIFS(Table1351452010[[#All],[Sales]],"คุณรุ่งอรุณ อินบุญรอด",Table1351452010[[#All],[Total
รายการเบิก
คอมขาย]],"&gt;0")</f>
        <v>1</v>
      </c>
      <c r="F9" s="306">
        <f>SUMIF(Table1351452010[[#All],[Sales]],"คุณรุ่งอรุณ อินบุญรอด",Table1351452010[[#All],[Total
รายการเบิก
คอมขาย]])</f>
        <v>2500</v>
      </c>
      <c r="G9" s="299">
        <f t="shared" si="1"/>
        <v>100</v>
      </c>
      <c r="H9" s="300">
        <f t="shared" ref="H9" si="3">F9-G9</f>
        <v>2400</v>
      </c>
      <c r="I9" s="308"/>
      <c r="J9" s="307"/>
    </row>
    <row r="10" spans="1:246" s="302" customFormat="1" ht="19.95" customHeight="1">
      <c r="A10" s="92"/>
      <c r="B10" s="309"/>
      <c r="C10" s="102" t="s">
        <v>79</v>
      </c>
      <c r="D10" s="305"/>
      <c r="E10" s="103">
        <f>COUNTIFS(Table1351452010[[#All],[Sales]],"คุณศศินาถ จุ้ยอยู่ทอง",Table1351452010[[#All],[Total
รายการเบิก
คอมขาย]],"&gt;0")</f>
        <v>2</v>
      </c>
      <c r="F10" s="306">
        <f>SUMIF(Table1351452010[[#All],[Sales]],"คุณศศินาถ จุ้ยอยู่ทอง",Table1351452010[[#All],[Total
รายการเบิก
คอมขาย]])</f>
        <v>2800</v>
      </c>
      <c r="G10" s="299">
        <f t="shared" ref="G10" si="4">F10*$G$3</f>
        <v>112</v>
      </c>
      <c r="H10" s="300">
        <f t="shared" ref="H10" si="5">F10-G10</f>
        <v>2688</v>
      </c>
      <c r="I10" s="308"/>
      <c r="J10" s="307"/>
    </row>
    <row r="11" spans="1:246" s="302" customFormat="1" ht="19.95" customHeight="1">
      <c r="A11" s="92"/>
      <c r="B11" s="309"/>
      <c r="C11" s="102" t="s">
        <v>103</v>
      </c>
      <c r="D11" s="305"/>
      <c r="E11" s="103">
        <f>COUNTIFS(Table1351452010[[#All],[Sales]],"คุณณรงศ์ศักย์ เหล่ารัตนเวช",Table1351452010[[#All],[Total
รายการเบิก
คอมขาย]],"&gt;0")</f>
        <v>0</v>
      </c>
      <c r="F11" s="298">
        <f>SUMIF(Table1351452010[[#All],[Sales]],"คุณณรงศ์ศักย์ เหล่ารัตนเวช",Table1351452010[[#All],[Total
รายการเบิก
คอมขาย]])</f>
        <v>0</v>
      </c>
      <c r="G11" s="299">
        <f t="shared" ref="G11:G13" si="6">F11*$G$3</f>
        <v>0</v>
      </c>
      <c r="H11" s="300">
        <f t="shared" ref="H11:H13" si="7">F11-G11</f>
        <v>0</v>
      </c>
      <c r="I11" s="308"/>
      <c r="J11" s="307"/>
    </row>
    <row r="12" spans="1:246" s="302" customFormat="1" ht="19.95" customHeight="1">
      <c r="A12" s="92"/>
      <c r="B12" s="309"/>
      <c r="C12" s="549" t="s">
        <v>168</v>
      </c>
      <c r="D12" s="305"/>
      <c r="E12" s="103">
        <f>COUNTIFS(Table1351452010[[#All],[Sales]],"คุณชนัฐฎา สนคะมี",Table1351452010[[#All],[Total
รายการเบิก
คอมขาย]],"&gt;0")</f>
        <v>1</v>
      </c>
      <c r="F12" s="298">
        <f>SUMIF(Table1351452010[[#All],[Sales]],"คุณชนัฐฎา สนคะมี",Table1351452010[[#All],[Total
รายการเบิก
คอมขาย]])</f>
        <v>4000</v>
      </c>
      <c r="G12" s="299">
        <f t="shared" ref="G12" si="8">F12*$G$3</f>
        <v>160</v>
      </c>
      <c r="H12" s="300">
        <f t="shared" ref="H12" si="9">F12-G12</f>
        <v>3840</v>
      </c>
      <c r="I12" s="308"/>
      <c r="J12" s="307"/>
    </row>
    <row r="13" spans="1:246" s="302" customFormat="1" ht="19.95" customHeight="1">
      <c r="A13" s="92"/>
      <c r="B13" s="310"/>
      <c r="C13" s="102" t="s">
        <v>81</v>
      </c>
      <c r="D13" s="311"/>
      <c r="E13" s="103">
        <f>COUNTIFS(Table1351452010[[#All],[Sales]],"คุณธัญลักษณ์ หมื่นหลุบกุง",Table1351452010[[#All],[Total
รายการเบิก
คอมขาย]],"&gt;0")</f>
        <v>0</v>
      </c>
      <c r="F13" s="298">
        <f>SUMIF(Table1351452010[[#All],[Sales]],"คุณธัญลักษณ์ หมื่นหลุบกุง",Table1351452010[[#All],[Total
รายการเบิก
คอมขาย]])</f>
        <v>0</v>
      </c>
      <c r="G13" s="299">
        <f t="shared" si="6"/>
        <v>0</v>
      </c>
      <c r="H13" s="300">
        <f t="shared" si="7"/>
        <v>0</v>
      </c>
      <c r="I13" s="308"/>
      <c r="J13" s="307"/>
    </row>
    <row r="14" spans="1:246" s="315" customFormat="1" ht="19.95" customHeight="1">
      <c r="A14" s="93">
        <v>2</v>
      </c>
      <c r="B14" s="312" t="s">
        <v>20</v>
      </c>
      <c r="C14" s="102" t="s">
        <v>82</v>
      </c>
      <c r="D14" s="414" t="s">
        <v>28</v>
      </c>
      <c r="E14" s="105">
        <f>COUNTIFS(Table1351452010[[#All],[Sales]],"คุณนิมิต จุ้ยอยู่ทอง",Table1351452010[[#All],[ค่าขายอุปกรณ์]],"&gt;1")</f>
        <v>0</v>
      </c>
      <c r="F14" s="313">
        <f>SUMIF(Table1351452010[[#All],[Sales]],"คุณนิมิต จุ้ยอยู่ทอง",Table1351452010[[#All],[Total
คอมฯ อุปกรณ์]])</f>
        <v>0</v>
      </c>
      <c r="G14" s="299">
        <v>0</v>
      </c>
      <c r="H14" s="300">
        <f t="shared" ref="H14:H24" si="10">F14-G14</f>
        <v>0</v>
      </c>
      <c r="I14" s="308"/>
      <c r="J14" s="307"/>
      <c r="K14" s="302"/>
      <c r="L14" s="314"/>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c r="CZ14" s="302"/>
      <c r="DA14" s="302"/>
      <c r="DB14" s="302"/>
      <c r="DC14" s="302"/>
      <c r="DD14" s="302"/>
      <c r="DE14" s="302"/>
      <c r="DF14" s="302"/>
      <c r="DG14" s="302"/>
      <c r="DH14" s="302"/>
      <c r="DI14" s="302"/>
      <c r="DJ14" s="302"/>
      <c r="DK14" s="302"/>
      <c r="DL14" s="302"/>
      <c r="DM14" s="302"/>
      <c r="DN14" s="302"/>
      <c r="DO14" s="302"/>
      <c r="DP14" s="302"/>
      <c r="DQ14" s="302"/>
      <c r="DR14" s="302"/>
      <c r="DS14" s="302"/>
      <c r="DT14" s="302"/>
      <c r="DU14" s="302"/>
      <c r="DV14" s="302"/>
      <c r="DW14" s="302"/>
      <c r="DX14" s="302"/>
      <c r="DY14" s="302"/>
      <c r="DZ14" s="302"/>
      <c r="EA14" s="302"/>
      <c r="EB14" s="302"/>
      <c r="EC14" s="302"/>
      <c r="ED14" s="302"/>
      <c r="EE14" s="302"/>
      <c r="EF14" s="302"/>
      <c r="EG14" s="302"/>
      <c r="EH14" s="302"/>
      <c r="EI14" s="302"/>
      <c r="EJ14" s="302"/>
      <c r="EK14" s="302"/>
      <c r="EL14" s="302"/>
      <c r="EM14" s="302"/>
      <c r="EN14" s="302"/>
      <c r="EO14" s="302"/>
      <c r="EP14" s="302"/>
      <c r="EQ14" s="302"/>
      <c r="ER14" s="302"/>
      <c r="ES14" s="302"/>
      <c r="ET14" s="302"/>
      <c r="EU14" s="302"/>
      <c r="EV14" s="302"/>
      <c r="EW14" s="302"/>
      <c r="EX14" s="302"/>
      <c r="EY14" s="302"/>
      <c r="EZ14" s="302"/>
      <c r="FA14" s="302"/>
      <c r="FB14" s="302"/>
      <c r="FC14" s="302"/>
      <c r="FD14" s="302"/>
      <c r="FE14" s="302"/>
      <c r="FF14" s="302"/>
      <c r="FG14" s="302"/>
      <c r="FH14" s="302"/>
      <c r="FI14" s="302"/>
      <c r="FJ14" s="302"/>
      <c r="FK14" s="302"/>
      <c r="FL14" s="302"/>
      <c r="FM14" s="302"/>
      <c r="FN14" s="302"/>
      <c r="FO14" s="302"/>
      <c r="FP14" s="302"/>
      <c r="FQ14" s="302"/>
      <c r="FR14" s="302"/>
      <c r="FS14" s="302"/>
      <c r="FT14" s="302"/>
      <c r="FU14" s="302"/>
      <c r="FV14" s="302"/>
      <c r="FW14" s="302"/>
      <c r="FX14" s="302"/>
      <c r="FY14" s="302"/>
      <c r="FZ14" s="302"/>
      <c r="GA14" s="302"/>
      <c r="GB14" s="302"/>
      <c r="GC14" s="302"/>
      <c r="GD14" s="302"/>
      <c r="GE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row>
    <row r="15" spans="1:246" s="318" customFormat="1" ht="19.95" customHeight="1">
      <c r="A15" s="94"/>
      <c r="B15" s="316"/>
      <c r="C15" s="102" t="s">
        <v>83</v>
      </c>
      <c r="D15" s="317"/>
      <c r="E15" s="105">
        <f>COUNTIFS(Table1351452010[[#All],[Sales]],"คุณธวัช มีแสง",Table1351452010[[#All],[ค่าขายอุปกรณ์]],"&gt;1")</f>
        <v>0</v>
      </c>
      <c r="F15" s="313">
        <f>SUMIF(Table1351452010[[#All],[Sales]],"คุณธวัช มีแสง",Table1351452010[[#All],[Total
คอมฯ อุปกรณ์]])</f>
        <v>0</v>
      </c>
      <c r="G15" s="299">
        <v>0</v>
      </c>
      <c r="H15" s="300">
        <f t="shared" ref="H15:H19" si="11">F15-G15</f>
        <v>0</v>
      </c>
      <c r="I15" s="308"/>
      <c r="J15" s="307"/>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c r="DT15" s="302"/>
      <c r="DU15" s="302"/>
      <c r="DV15" s="302"/>
      <c r="DW15" s="302"/>
      <c r="DX15" s="302"/>
      <c r="DY15" s="302"/>
      <c r="DZ15" s="302"/>
      <c r="EA15" s="302"/>
      <c r="EB15" s="302"/>
      <c r="EC15" s="302"/>
      <c r="ED15" s="302"/>
      <c r="EE15" s="302"/>
      <c r="EF15" s="302"/>
      <c r="EG15" s="302"/>
      <c r="EH15" s="302"/>
      <c r="EI15" s="302"/>
      <c r="EJ15" s="302"/>
      <c r="EK15" s="302"/>
      <c r="EL15" s="302"/>
      <c r="EM15" s="302"/>
      <c r="EN15" s="302"/>
      <c r="EO15" s="302"/>
      <c r="EP15" s="302"/>
      <c r="EQ15" s="302"/>
      <c r="ER15" s="302"/>
      <c r="ES15" s="302"/>
      <c r="ET15" s="302"/>
      <c r="EU15" s="302"/>
      <c r="EV15" s="302"/>
      <c r="EW15" s="302"/>
      <c r="EX15" s="302"/>
      <c r="EY15" s="302"/>
      <c r="EZ15" s="302"/>
      <c r="FA15" s="302"/>
      <c r="FB15" s="302"/>
      <c r="FC15" s="302"/>
      <c r="FD15" s="302"/>
      <c r="FE15" s="302"/>
      <c r="FF15" s="302"/>
      <c r="FG15" s="302"/>
      <c r="FH15" s="302"/>
      <c r="FI15" s="302"/>
      <c r="FJ15" s="302"/>
      <c r="FK15" s="302"/>
      <c r="FL15" s="302"/>
      <c r="FM15" s="302"/>
      <c r="FN15" s="302"/>
      <c r="FO15" s="302"/>
      <c r="FP15" s="302"/>
      <c r="FQ15" s="302"/>
      <c r="FR15" s="302"/>
      <c r="FS15" s="302"/>
      <c r="FT15" s="302"/>
      <c r="FU15" s="302"/>
      <c r="FV15" s="302"/>
      <c r="FW15" s="302"/>
      <c r="FX15" s="302"/>
      <c r="FY15" s="302"/>
      <c r="FZ15" s="302"/>
      <c r="GA15" s="302"/>
      <c r="GB15" s="302"/>
      <c r="GC15" s="302"/>
      <c r="GD15" s="302"/>
      <c r="GE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row>
    <row r="16" spans="1:246" s="318" customFormat="1" ht="19.95" customHeight="1">
      <c r="A16" s="94"/>
      <c r="B16" s="316"/>
      <c r="C16" s="102" t="s">
        <v>84</v>
      </c>
      <c r="D16" s="317"/>
      <c r="E16" s="105">
        <f>COUNTIFS(Table1351452010[[#All],[Sales]],"คุณแดง มูลสองแคว",Table1351452010[[#All],[ค่าขายอุปกรณ์]],"&gt;1")</f>
        <v>0</v>
      </c>
      <c r="F16" s="313">
        <f>SUMIF(Table1351452010[[#All],[Sales]],"คุณแดง มูลสองแคว",Table1351452010[[#All],[Total
คอมฯ อุปกรณ์]])</f>
        <v>0</v>
      </c>
      <c r="G16" s="299">
        <v>0</v>
      </c>
      <c r="H16" s="300">
        <f t="shared" si="11"/>
        <v>0</v>
      </c>
      <c r="I16" s="308"/>
      <c r="J16" s="307"/>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c r="CT16" s="302"/>
      <c r="CU16" s="302"/>
      <c r="CV16" s="302"/>
      <c r="CW16" s="302"/>
      <c r="CX16" s="302"/>
      <c r="CY16" s="302"/>
      <c r="CZ16" s="302"/>
      <c r="DA16" s="302"/>
      <c r="DB16" s="302"/>
      <c r="DC16" s="302"/>
      <c r="DD16" s="302"/>
      <c r="DE16" s="302"/>
      <c r="DF16" s="302"/>
      <c r="DG16" s="302"/>
      <c r="DH16" s="302"/>
      <c r="DI16" s="302"/>
      <c r="DJ16" s="302"/>
      <c r="DK16" s="302"/>
      <c r="DL16" s="302"/>
      <c r="DM16" s="302"/>
      <c r="DN16" s="302"/>
      <c r="DO16" s="302"/>
      <c r="DP16" s="302"/>
      <c r="DQ16" s="302"/>
      <c r="DR16" s="302"/>
      <c r="DS16" s="302"/>
      <c r="DT16" s="302"/>
      <c r="DU16" s="302"/>
      <c r="DV16" s="302"/>
      <c r="DW16" s="302"/>
      <c r="DX16" s="302"/>
      <c r="DY16" s="302"/>
      <c r="DZ16" s="302"/>
      <c r="EA16" s="302"/>
      <c r="EB16" s="302"/>
      <c r="EC16" s="302"/>
      <c r="ED16" s="302"/>
      <c r="EE16" s="302"/>
      <c r="EF16" s="302"/>
      <c r="EG16" s="302"/>
      <c r="EH16" s="302"/>
      <c r="EI16" s="302"/>
      <c r="EJ16" s="302"/>
      <c r="EK16" s="302"/>
      <c r="EL16" s="302"/>
      <c r="EM16" s="302"/>
      <c r="EN16" s="302"/>
      <c r="EO16" s="302"/>
      <c r="EP16" s="302"/>
      <c r="EQ16" s="302"/>
      <c r="ER16" s="302"/>
      <c r="ES16" s="302"/>
      <c r="ET16" s="302"/>
      <c r="EU16" s="302"/>
      <c r="EV16" s="302"/>
      <c r="EW16" s="302"/>
      <c r="EX16" s="302"/>
      <c r="EY16" s="302"/>
      <c r="EZ16" s="302"/>
      <c r="FA16" s="302"/>
      <c r="FB16" s="302"/>
      <c r="FC16" s="302"/>
      <c r="FD16" s="302"/>
      <c r="FE16" s="302"/>
      <c r="FF16" s="302"/>
      <c r="FG16" s="302"/>
      <c r="FH16" s="302"/>
      <c r="FI16" s="302"/>
      <c r="FJ16" s="302"/>
      <c r="FK16" s="302"/>
      <c r="FL16" s="302"/>
      <c r="FM16" s="302"/>
      <c r="FN16" s="302"/>
      <c r="FO16" s="302"/>
      <c r="FP16" s="302"/>
      <c r="FQ16" s="302"/>
      <c r="FR16" s="302"/>
      <c r="FS16" s="302"/>
      <c r="FT16" s="302"/>
      <c r="FU16" s="302"/>
      <c r="FV16" s="302"/>
      <c r="FW16" s="302"/>
      <c r="FX16" s="302"/>
      <c r="FY16" s="302"/>
      <c r="FZ16" s="302"/>
      <c r="GA16" s="302"/>
      <c r="GB16" s="302"/>
      <c r="GC16" s="302"/>
      <c r="GD16" s="302"/>
      <c r="GE16" s="302"/>
      <c r="GF16" s="302"/>
      <c r="GG16" s="302"/>
      <c r="GH16" s="302"/>
      <c r="GI16" s="302"/>
      <c r="GJ16" s="302"/>
      <c r="GK16" s="302"/>
      <c r="GL16" s="302"/>
      <c r="GM16" s="302"/>
      <c r="GN16" s="302"/>
      <c r="GO16" s="302"/>
      <c r="GP16" s="302"/>
      <c r="GQ16" s="302"/>
      <c r="GR16" s="302"/>
      <c r="GS16" s="302"/>
      <c r="GT16" s="302"/>
      <c r="GU16" s="302"/>
      <c r="GV16" s="302"/>
      <c r="GW16" s="302"/>
      <c r="GX16" s="302"/>
      <c r="GY16" s="302"/>
      <c r="GZ16" s="302"/>
      <c r="HA16" s="302"/>
      <c r="HB16" s="302"/>
      <c r="HC16" s="302"/>
      <c r="HD16" s="302"/>
      <c r="HE16" s="302"/>
      <c r="HF16" s="302"/>
      <c r="HG16" s="302"/>
      <c r="HH16" s="302"/>
      <c r="HI16" s="302"/>
      <c r="HJ16" s="302"/>
      <c r="HK16" s="302"/>
      <c r="HL16" s="302"/>
      <c r="HM16" s="302"/>
      <c r="HN16" s="302"/>
      <c r="HO16" s="302"/>
      <c r="HP16" s="302"/>
      <c r="HQ16" s="302"/>
      <c r="HR16" s="302"/>
      <c r="HS16" s="302"/>
      <c r="HT16" s="302"/>
      <c r="HU16" s="302"/>
      <c r="HV16" s="302"/>
      <c r="HW16" s="302"/>
      <c r="HX16" s="302"/>
      <c r="HY16" s="302"/>
      <c r="HZ16" s="302"/>
      <c r="IA16" s="302"/>
      <c r="IB16" s="302"/>
      <c r="IC16" s="302"/>
      <c r="ID16" s="302"/>
      <c r="IE16" s="302"/>
      <c r="IF16" s="302"/>
      <c r="IG16" s="302"/>
      <c r="IH16" s="302"/>
      <c r="II16" s="302"/>
      <c r="IJ16" s="302"/>
      <c r="IK16" s="302"/>
      <c r="IL16" s="302"/>
    </row>
    <row r="17" spans="1:246" s="318" customFormat="1" ht="19.95" customHeight="1">
      <c r="A17" s="94"/>
      <c r="B17" s="316"/>
      <c r="C17" s="177" t="s">
        <v>85</v>
      </c>
      <c r="D17" s="317"/>
      <c r="E17" s="105">
        <f>COUNTIFS(Table1351452010[[#All],[Sales]],"คุณนิยนต์ อยู่ทะเล",Table1351452010[[#All],[ค่าขายอุปกรณ์]],"&gt;1")</f>
        <v>0</v>
      </c>
      <c r="F17" s="313">
        <f>SUMIF(Table1351452010[[#All],[Sales]],"คุณนิยนต์ อยู่ทะเล",Table1351452010[[#All],[Total
คอมฯ อุปกรณ์]])</f>
        <v>0</v>
      </c>
      <c r="G17" s="299">
        <v>0</v>
      </c>
      <c r="H17" s="300">
        <f t="shared" si="11"/>
        <v>0</v>
      </c>
      <c r="I17" s="308"/>
      <c r="J17" s="307"/>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2"/>
      <c r="CB17" s="302"/>
      <c r="CC17" s="302"/>
      <c r="CD17" s="302"/>
      <c r="CE17" s="302"/>
      <c r="CF17" s="302"/>
      <c r="CG17" s="302"/>
      <c r="CH17" s="302"/>
      <c r="CI17" s="302"/>
      <c r="CJ17" s="302"/>
      <c r="CK17" s="302"/>
      <c r="CL17" s="302"/>
      <c r="CM17" s="302"/>
      <c r="CN17" s="302"/>
      <c r="CO17" s="302"/>
      <c r="CP17" s="302"/>
      <c r="CQ17" s="302"/>
      <c r="CR17" s="302"/>
      <c r="CS17" s="302"/>
      <c r="CT17" s="302"/>
      <c r="CU17" s="302"/>
      <c r="CV17" s="302"/>
      <c r="CW17" s="302"/>
      <c r="CX17" s="302"/>
      <c r="CY17" s="302"/>
      <c r="CZ17" s="302"/>
      <c r="DA17" s="302"/>
      <c r="DB17" s="302"/>
      <c r="DC17" s="302"/>
      <c r="DD17" s="302"/>
      <c r="DE17" s="302"/>
      <c r="DF17" s="302"/>
      <c r="DG17" s="302"/>
      <c r="DH17" s="302"/>
      <c r="DI17" s="302"/>
      <c r="DJ17" s="302"/>
      <c r="DK17" s="302"/>
      <c r="DL17" s="302"/>
      <c r="DM17" s="302"/>
      <c r="DN17" s="302"/>
      <c r="DO17" s="302"/>
      <c r="DP17" s="302"/>
      <c r="DQ17" s="302"/>
      <c r="DR17" s="302"/>
      <c r="DS17" s="302"/>
      <c r="DT17" s="302"/>
      <c r="DU17" s="302"/>
      <c r="DV17" s="302"/>
      <c r="DW17" s="302"/>
      <c r="DX17" s="302"/>
      <c r="DY17" s="302"/>
      <c r="DZ17" s="302"/>
      <c r="EA17" s="302"/>
      <c r="EB17" s="302"/>
      <c r="EC17" s="302"/>
      <c r="ED17" s="302"/>
      <c r="EE17" s="302"/>
      <c r="EF17" s="302"/>
      <c r="EG17" s="302"/>
      <c r="EH17" s="302"/>
      <c r="EI17" s="302"/>
      <c r="EJ17" s="302"/>
      <c r="EK17" s="302"/>
      <c r="EL17" s="302"/>
      <c r="EM17" s="302"/>
      <c r="EN17" s="302"/>
      <c r="EO17" s="302"/>
      <c r="EP17" s="302"/>
      <c r="EQ17" s="302"/>
      <c r="ER17" s="302"/>
      <c r="ES17" s="302"/>
      <c r="ET17" s="302"/>
      <c r="EU17" s="302"/>
      <c r="EV17" s="302"/>
      <c r="EW17" s="302"/>
      <c r="EX17" s="302"/>
      <c r="EY17" s="302"/>
      <c r="EZ17" s="302"/>
      <c r="FA17" s="302"/>
      <c r="FB17" s="302"/>
      <c r="FC17" s="302"/>
      <c r="FD17" s="302"/>
      <c r="FE17" s="302"/>
      <c r="FF17" s="302"/>
      <c r="FG17" s="302"/>
      <c r="FH17" s="302"/>
      <c r="FI17" s="302"/>
      <c r="FJ17" s="302"/>
      <c r="FK17" s="302"/>
      <c r="FL17" s="302"/>
      <c r="FM17" s="302"/>
      <c r="FN17" s="302"/>
      <c r="FO17" s="302"/>
      <c r="FP17" s="302"/>
      <c r="FQ17" s="302"/>
      <c r="FR17" s="302"/>
      <c r="FS17" s="302"/>
      <c r="FT17" s="302"/>
      <c r="FU17" s="302"/>
      <c r="FV17" s="302"/>
      <c r="FW17" s="302"/>
      <c r="FX17" s="302"/>
      <c r="FY17" s="302"/>
      <c r="FZ17" s="302"/>
      <c r="GA17" s="302"/>
      <c r="GB17" s="302"/>
      <c r="GC17" s="302"/>
      <c r="GD17" s="302"/>
      <c r="GE17" s="302"/>
      <c r="GF17" s="302"/>
      <c r="GG17" s="302"/>
      <c r="GH17" s="302"/>
      <c r="GI17" s="302"/>
      <c r="GJ17" s="302"/>
      <c r="GK17" s="302"/>
      <c r="GL17" s="302"/>
      <c r="GM17" s="302"/>
      <c r="GN17" s="302"/>
      <c r="GO17" s="302"/>
      <c r="GP17" s="302"/>
      <c r="GQ17" s="302"/>
      <c r="GR17" s="302"/>
      <c r="GS17" s="302"/>
      <c r="GT17" s="302"/>
      <c r="GU17" s="302"/>
      <c r="GV17" s="302"/>
      <c r="GW17" s="302"/>
      <c r="GX17" s="302"/>
      <c r="GY17" s="302"/>
      <c r="GZ17" s="302"/>
      <c r="HA17" s="302"/>
      <c r="HB17" s="302"/>
      <c r="HC17" s="302"/>
      <c r="HD17" s="302"/>
      <c r="HE17" s="302"/>
      <c r="HF17" s="302"/>
      <c r="HG17" s="302"/>
      <c r="HH17" s="302"/>
      <c r="HI17" s="302"/>
      <c r="HJ17" s="302"/>
      <c r="HK17" s="302"/>
      <c r="HL17" s="302"/>
      <c r="HM17" s="302"/>
      <c r="HN17" s="302"/>
      <c r="HO17" s="302"/>
      <c r="HP17" s="302"/>
      <c r="HQ17" s="302"/>
      <c r="HR17" s="302"/>
      <c r="HS17" s="302"/>
      <c r="HT17" s="302"/>
      <c r="HU17" s="302"/>
      <c r="HV17" s="302"/>
      <c r="HW17" s="302"/>
      <c r="HX17" s="302"/>
      <c r="HY17" s="302"/>
      <c r="HZ17" s="302"/>
      <c r="IA17" s="302"/>
      <c r="IB17" s="302"/>
      <c r="IC17" s="302"/>
      <c r="ID17" s="302"/>
      <c r="IE17" s="302"/>
      <c r="IF17" s="302"/>
      <c r="IG17" s="302"/>
      <c r="IH17" s="302"/>
      <c r="II17" s="302"/>
      <c r="IJ17" s="302"/>
      <c r="IK17" s="302"/>
      <c r="IL17" s="302"/>
    </row>
    <row r="18" spans="1:246" s="318" customFormat="1" ht="19.95" customHeight="1">
      <c r="A18" s="94"/>
      <c r="B18" s="316"/>
      <c r="C18" s="181" t="s">
        <v>78</v>
      </c>
      <c r="D18" s="317"/>
      <c r="E18" s="105">
        <f>COUNTIFS(Table1351452010[[#All],[Sales]],"คุณรุ่งอรุณ อินบุญรอด",Table1351452010[[#All],[ค่าขายอุปกรณ์]],"&gt;1")</f>
        <v>0</v>
      </c>
      <c r="F18" s="313">
        <f>SUMIF(Table1351452010[[#All],[Sales]],"คุณรุ่งอรุณ อินบุญรอด",Table1351452010[[#All],[Total
คอมฯ อุปกรณ์]])</f>
        <v>0</v>
      </c>
      <c r="G18" s="299">
        <v>0</v>
      </c>
      <c r="H18" s="300">
        <f t="shared" si="11"/>
        <v>0</v>
      </c>
      <c r="I18" s="308"/>
      <c r="J18" s="307"/>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2"/>
      <c r="CJ18" s="302"/>
      <c r="CK18" s="302"/>
      <c r="CL18" s="302"/>
      <c r="CM18" s="302"/>
      <c r="CN18" s="302"/>
      <c r="CO18" s="302"/>
      <c r="CP18" s="302"/>
      <c r="CQ18" s="302"/>
      <c r="CR18" s="302"/>
      <c r="CS18" s="302"/>
      <c r="CT18" s="302"/>
      <c r="CU18" s="302"/>
      <c r="CV18" s="302"/>
      <c r="CW18" s="302"/>
      <c r="CX18" s="302"/>
      <c r="CY18" s="302"/>
      <c r="CZ18" s="302"/>
      <c r="DA18" s="302"/>
      <c r="DB18" s="302"/>
      <c r="DC18" s="302"/>
      <c r="DD18" s="302"/>
      <c r="DE18" s="302"/>
      <c r="DF18" s="302"/>
      <c r="DG18" s="302"/>
      <c r="DH18" s="302"/>
      <c r="DI18" s="302"/>
      <c r="DJ18" s="302"/>
      <c r="DK18" s="302"/>
      <c r="DL18" s="302"/>
      <c r="DM18" s="302"/>
      <c r="DN18" s="302"/>
      <c r="DO18" s="302"/>
      <c r="DP18" s="302"/>
      <c r="DQ18" s="302"/>
      <c r="DR18" s="302"/>
      <c r="DS18" s="302"/>
      <c r="DT18" s="302"/>
      <c r="DU18" s="302"/>
      <c r="DV18" s="302"/>
      <c r="DW18" s="302"/>
      <c r="DX18" s="302"/>
      <c r="DY18" s="302"/>
      <c r="DZ18" s="302"/>
      <c r="EA18" s="302"/>
      <c r="EB18" s="302"/>
      <c r="EC18" s="302"/>
      <c r="ED18" s="302"/>
      <c r="EE18" s="302"/>
      <c r="EF18" s="302"/>
      <c r="EG18" s="302"/>
      <c r="EH18" s="302"/>
      <c r="EI18" s="302"/>
      <c r="EJ18" s="302"/>
      <c r="EK18" s="302"/>
      <c r="EL18" s="302"/>
      <c r="EM18" s="302"/>
      <c r="EN18" s="302"/>
      <c r="EO18" s="302"/>
      <c r="EP18" s="302"/>
      <c r="EQ18" s="302"/>
      <c r="ER18" s="302"/>
      <c r="ES18" s="302"/>
      <c r="ET18" s="302"/>
      <c r="EU18" s="302"/>
      <c r="EV18" s="302"/>
      <c r="EW18" s="302"/>
      <c r="EX18" s="302"/>
      <c r="EY18" s="302"/>
      <c r="EZ18" s="302"/>
      <c r="FA18" s="302"/>
      <c r="FB18" s="302"/>
      <c r="FC18" s="302"/>
      <c r="FD18" s="302"/>
      <c r="FE18" s="302"/>
      <c r="FF18" s="302"/>
      <c r="FG18" s="302"/>
      <c r="FH18" s="302"/>
      <c r="FI18" s="302"/>
      <c r="FJ18" s="302"/>
      <c r="FK18" s="302"/>
      <c r="FL18" s="302"/>
      <c r="FM18" s="302"/>
      <c r="FN18" s="302"/>
      <c r="FO18" s="302"/>
      <c r="FP18" s="302"/>
      <c r="FQ18" s="302"/>
      <c r="FR18" s="302"/>
      <c r="FS18" s="302"/>
      <c r="FT18" s="302"/>
      <c r="FU18" s="302"/>
      <c r="FV18" s="302"/>
      <c r="FW18" s="302"/>
      <c r="FX18" s="302"/>
      <c r="FY18" s="302"/>
      <c r="FZ18" s="302"/>
      <c r="GA18" s="302"/>
      <c r="GB18" s="302"/>
      <c r="GC18" s="302"/>
      <c r="GD18" s="302"/>
      <c r="GE18" s="302"/>
      <c r="GF18" s="302"/>
      <c r="GG18" s="302"/>
      <c r="GH18" s="302"/>
      <c r="GI18" s="302"/>
      <c r="GJ18" s="302"/>
      <c r="GK18" s="302"/>
      <c r="GL18" s="302"/>
      <c r="GM18" s="302"/>
      <c r="GN18" s="302"/>
      <c r="GO18" s="302"/>
      <c r="GP18" s="302"/>
      <c r="GQ18" s="302"/>
      <c r="GR18" s="302"/>
      <c r="GS18" s="302"/>
      <c r="GT18" s="302"/>
      <c r="GU18" s="302"/>
      <c r="GV18" s="302"/>
      <c r="GW18" s="302"/>
      <c r="GX18" s="302"/>
      <c r="GY18" s="302"/>
      <c r="GZ18" s="302"/>
      <c r="HA18" s="302"/>
      <c r="HB18" s="302"/>
      <c r="HC18" s="302"/>
      <c r="HD18" s="302"/>
      <c r="HE18" s="302"/>
      <c r="HF18" s="302"/>
      <c r="HG18" s="302"/>
      <c r="HH18" s="302"/>
      <c r="HI18" s="302"/>
      <c r="HJ18" s="302"/>
      <c r="HK18" s="302"/>
      <c r="HL18" s="302"/>
      <c r="HM18" s="302"/>
      <c r="HN18" s="302"/>
      <c r="HO18" s="302"/>
      <c r="HP18" s="302"/>
      <c r="HQ18" s="302"/>
      <c r="HR18" s="302"/>
      <c r="HS18" s="302"/>
      <c r="HT18" s="302"/>
      <c r="HU18" s="302"/>
      <c r="HV18" s="302"/>
      <c r="HW18" s="302"/>
      <c r="HX18" s="302"/>
      <c r="HY18" s="302"/>
      <c r="HZ18" s="302"/>
      <c r="IA18" s="302"/>
      <c r="IB18" s="302"/>
      <c r="IC18" s="302"/>
      <c r="ID18" s="302"/>
      <c r="IE18" s="302"/>
      <c r="IF18" s="302"/>
      <c r="IG18" s="302"/>
      <c r="IH18" s="302"/>
      <c r="II18" s="302"/>
      <c r="IJ18" s="302"/>
      <c r="IK18" s="302"/>
      <c r="IL18" s="302"/>
    </row>
    <row r="19" spans="1:246" s="318" customFormat="1" ht="19.95" customHeight="1">
      <c r="A19" s="94"/>
      <c r="B19" s="309"/>
      <c r="C19" s="102" t="s">
        <v>79</v>
      </c>
      <c r="D19" s="317"/>
      <c r="E19" s="105">
        <f>COUNTIFS(Table1351452010[[#All],[Sales]],"คุณศศินาถ จุ้ยอยู่ทอง",Table1351452010[[#All],[ค่าขายอุปกรณ์]],"&gt;1")</f>
        <v>0</v>
      </c>
      <c r="F19" s="313">
        <f>SUMIF(Table1351452010[[#All],[Sales]],"คุณศศินาถ จุ้ยอยู่ทอง",Table1351452010[[#All],[Total
คอมฯ อุปกรณ์]])</f>
        <v>0</v>
      </c>
      <c r="G19" s="299">
        <v>0</v>
      </c>
      <c r="H19" s="300">
        <f t="shared" si="11"/>
        <v>0</v>
      </c>
      <c r="I19" s="308"/>
      <c r="J19" s="307"/>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c r="CB19" s="302"/>
      <c r="CC19" s="302"/>
      <c r="CD19" s="302"/>
      <c r="CE19" s="302"/>
      <c r="CF19" s="302"/>
      <c r="CG19" s="302"/>
      <c r="CH19" s="302"/>
      <c r="CI19" s="302"/>
      <c r="CJ19" s="302"/>
      <c r="CK19" s="302"/>
      <c r="CL19" s="302"/>
      <c r="CM19" s="302"/>
      <c r="CN19" s="302"/>
      <c r="CO19" s="302"/>
      <c r="CP19" s="302"/>
      <c r="CQ19" s="302"/>
      <c r="CR19" s="302"/>
      <c r="CS19" s="302"/>
      <c r="CT19" s="302"/>
      <c r="CU19" s="302"/>
      <c r="CV19" s="302"/>
      <c r="CW19" s="302"/>
      <c r="CX19" s="302"/>
      <c r="CY19" s="302"/>
      <c r="CZ19" s="302"/>
      <c r="DA19" s="302"/>
      <c r="DB19" s="302"/>
      <c r="DC19" s="302"/>
      <c r="DD19" s="302"/>
      <c r="DE19" s="302"/>
      <c r="DF19" s="302"/>
      <c r="DG19" s="302"/>
      <c r="DH19" s="302"/>
      <c r="DI19" s="302"/>
      <c r="DJ19" s="302"/>
      <c r="DK19" s="302"/>
      <c r="DL19" s="302"/>
      <c r="DM19" s="302"/>
      <c r="DN19" s="302"/>
      <c r="DO19" s="302"/>
      <c r="DP19" s="302"/>
      <c r="DQ19" s="302"/>
      <c r="DR19" s="302"/>
      <c r="DS19" s="302"/>
      <c r="DT19" s="302"/>
      <c r="DU19" s="302"/>
      <c r="DV19" s="302"/>
      <c r="DW19" s="302"/>
      <c r="DX19" s="302"/>
      <c r="DY19" s="302"/>
      <c r="DZ19" s="302"/>
      <c r="EA19" s="302"/>
      <c r="EB19" s="302"/>
      <c r="EC19" s="302"/>
      <c r="ED19" s="302"/>
      <c r="EE19" s="302"/>
      <c r="EF19" s="302"/>
      <c r="EG19" s="302"/>
      <c r="EH19" s="302"/>
      <c r="EI19" s="302"/>
      <c r="EJ19" s="302"/>
      <c r="EK19" s="302"/>
      <c r="EL19" s="302"/>
      <c r="EM19" s="302"/>
      <c r="EN19" s="302"/>
      <c r="EO19" s="302"/>
      <c r="EP19" s="302"/>
      <c r="EQ19" s="302"/>
      <c r="ER19" s="302"/>
      <c r="ES19" s="302"/>
      <c r="ET19" s="302"/>
      <c r="EU19" s="302"/>
      <c r="EV19" s="302"/>
      <c r="EW19" s="302"/>
      <c r="EX19" s="302"/>
      <c r="EY19" s="302"/>
      <c r="EZ19" s="302"/>
      <c r="FA19" s="302"/>
      <c r="FB19" s="302"/>
      <c r="FC19" s="302"/>
      <c r="FD19" s="302"/>
      <c r="FE19" s="302"/>
      <c r="FF19" s="302"/>
      <c r="FG19" s="302"/>
      <c r="FH19" s="302"/>
      <c r="FI19" s="302"/>
      <c r="FJ19" s="302"/>
      <c r="FK19" s="302"/>
      <c r="FL19" s="302"/>
      <c r="FM19" s="302"/>
      <c r="FN19" s="302"/>
      <c r="FO19" s="302"/>
      <c r="FP19" s="302"/>
      <c r="FQ19" s="302"/>
      <c r="FR19" s="302"/>
      <c r="FS19" s="302"/>
      <c r="FT19" s="302"/>
      <c r="FU19" s="302"/>
      <c r="FV19" s="302"/>
      <c r="FW19" s="302"/>
      <c r="FX19" s="302"/>
      <c r="FY19" s="302"/>
      <c r="FZ19" s="302"/>
      <c r="GA19" s="302"/>
      <c r="GB19" s="302"/>
      <c r="GC19" s="302"/>
      <c r="GD19" s="302"/>
      <c r="GE19" s="302"/>
      <c r="GF19" s="302"/>
      <c r="GG19" s="302"/>
      <c r="GH19" s="302"/>
      <c r="GI19" s="302"/>
      <c r="GJ19" s="302"/>
      <c r="GK19" s="302"/>
      <c r="GL19" s="302"/>
      <c r="GM19" s="302"/>
      <c r="GN19" s="302"/>
      <c r="GO19" s="302"/>
      <c r="GP19" s="302"/>
      <c r="GQ19" s="302"/>
      <c r="GR19" s="302"/>
      <c r="GS19" s="302"/>
      <c r="GT19" s="302"/>
      <c r="GU19" s="302"/>
      <c r="GV19" s="302"/>
      <c r="GW19" s="302"/>
      <c r="GX19" s="302"/>
      <c r="GY19" s="302"/>
      <c r="GZ19" s="302"/>
      <c r="HA19" s="302"/>
      <c r="HB19" s="302"/>
      <c r="HC19" s="302"/>
      <c r="HD19" s="302"/>
      <c r="HE19" s="302"/>
      <c r="HF19" s="302"/>
      <c r="HG19" s="302"/>
      <c r="HH19" s="302"/>
      <c r="HI19" s="302"/>
      <c r="HJ19" s="302"/>
      <c r="HK19" s="302"/>
      <c r="HL19" s="302"/>
      <c r="HM19" s="302"/>
      <c r="HN19" s="302"/>
      <c r="HO19" s="302"/>
      <c r="HP19" s="302"/>
      <c r="HQ19" s="302"/>
      <c r="HR19" s="302"/>
      <c r="HS19" s="302"/>
      <c r="HT19" s="302"/>
      <c r="HU19" s="302"/>
      <c r="HV19" s="302"/>
      <c r="HW19" s="302"/>
      <c r="HX19" s="302"/>
      <c r="HY19" s="302"/>
      <c r="HZ19" s="302"/>
      <c r="IA19" s="302"/>
      <c r="IB19" s="302"/>
      <c r="IC19" s="302"/>
      <c r="ID19" s="302"/>
      <c r="IE19" s="302"/>
      <c r="IF19" s="302"/>
      <c r="IG19" s="302"/>
      <c r="IH19" s="302"/>
      <c r="II19" s="302"/>
      <c r="IJ19" s="302"/>
      <c r="IK19" s="302"/>
      <c r="IL19" s="302"/>
    </row>
    <row r="20" spans="1:246" s="318" customFormat="1" ht="19.95" customHeight="1">
      <c r="A20" s="94"/>
      <c r="B20" s="309"/>
      <c r="C20" s="355" t="s">
        <v>103</v>
      </c>
      <c r="D20" s="317"/>
      <c r="E20" s="105">
        <f>COUNTIFS(Table1351452010[[#All],[Sales]],"คุณณรงศ์ศักย์ เหล่ารัตนเวช",Table1351452010[[#All],[ค่าขายอุปกรณ์]],"&gt;1")</f>
        <v>0</v>
      </c>
      <c r="F20" s="313">
        <f>SUMIF(Table1351452010[[#All],[Sales]],"คุณณรงศ์ศักย์ เหล่ารัตนเวช",Table1351452010[[#All],[Total
คอมฯ อุปกรณ์]])</f>
        <v>0</v>
      </c>
      <c r="G20" s="299">
        <v>0</v>
      </c>
      <c r="H20" s="300">
        <f t="shared" ref="H20" si="12">F20-G20</f>
        <v>0</v>
      </c>
      <c r="I20" s="308"/>
      <c r="J20" s="307"/>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c r="CB20" s="302"/>
      <c r="CC20" s="302"/>
      <c r="CD20" s="302"/>
      <c r="CE20" s="302"/>
      <c r="CF20" s="302"/>
      <c r="CG20" s="302"/>
      <c r="CH20" s="302"/>
      <c r="CI20" s="302"/>
      <c r="CJ20" s="302"/>
      <c r="CK20" s="302"/>
      <c r="CL20" s="302"/>
      <c r="CM20" s="302"/>
      <c r="CN20" s="302"/>
      <c r="CO20" s="302"/>
      <c r="CP20" s="302"/>
      <c r="CQ20" s="302"/>
      <c r="CR20" s="302"/>
      <c r="CS20" s="302"/>
      <c r="CT20" s="302"/>
      <c r="CU20" s="302"/>
      <c r="CV20" s="302"/>
      <c r="CW20" s="302"/>
      <c r="CX20" s="302"/>
      <c r="CY20" s="302"/>
      <c r="CZ20" s="302"/>
      <c r="DA20" s="302"/>
      <c r="DB20" s="302"/>
      <c r="DC20" s="302"/>
      <c r="DD20" s="302"/>
      <c r="DE20" s="302"/>
      <c r="DF20" s="302"/>
      <c r="DG20" s="302"/>
      <c r="DH20" s="302"/>
      <c r="DI20" s="302"/>
      <c r="DJ20" s="302"/>
      <c r="DK20" s="302"/>
      <c r="DL20" s="302"/>
      <c r="DM20" s="302"/>
      <c r="DN20" s="302"/>
      <c r="DO20" s="302"/>
      <c r="DP20" s="302"/>
      <c r="DQ20" s="302"/>
      <c r="DR20" s="302"/>
      <c r="DS20" s="302"/>
      <c r="DT20" s="302"/>
      <c r="DU20" s="302"/>
      <c r="DV20" s="302"/>
      <c r="DW20" s="302"/>
      <c r="DX20" s="302"/>
      <c r="DY20" s="302"/>
      <c r="DZ20" s="302"/>
      <c r="EA20" s="302"/>
      <c r="EB20" s="302"/>
      <c r="EC20" s="302"/>
      <c r="ED20" s="302"/>
      <c r="EE20" s="302"/>
      <c r="EF20" s="302"/>
      <c r="EG20" s="302"/>
      <c r="EH20" s="302"/>
      <c r="EI20" s="302"/>
      <c r="EJ20" s="302"/>
      <c r="EK20" s="302"/>
      <c r="EL20" s="302"/>
      <c r="EM20" s="302"/>
      <c r="EN20" s="302"/>
      <c r="EO20" s="302"/>
      <c r="EP20" s="302"/>
      <c r="EQ20" s="302"/>
      <c r="ER20" s="302"/>
      <c r="ES20" s="302"/>
      <c r="ET20" s="302"/>
      <c r="EU20" s="302"/>
      <c r="EV20" s="302"/>
      <c r="EW20" s="302"/>
      <c r="EX20" s="302"/>
      <c r="EY20" s="302"/>
      <c r="EZ20" s="302"/>
      <c r="FA20" s="302"/>
      <c r="FB20" s="302"/>
      <c r="FC20" s="302"/>
      <c r="FD20" s="302"/>
      <c r="FE20" s="302"/>
      <c r="FF20" s="302"/>
      <c r="FG20" s="302"/>
      <c r="FH20" s="302"/>
      <c r="FI20" s="302"/>
      <c r="FJ20" s="302"/>
      <c r="FK20" s="302"/>
      <c r="FL20" s="302"/>
      <c r="FM20" s="302"/>
      <c r="FN20" s="302"/>
      <c r="FO20" s="302"/>
      <c r="FP20" s="302"/>
      <c r="FQ20" s="302"/>
      <c r="FR20" s="302"/>
      <c r="FS20" s="302"/>
      <c r="FT20" s="302"/>
      <c r="FU20" s="302"/>
      <c r="FV20" s="302"/>
      <c r="FW20" s="302"/>
      <c r="FX20" s="302"/>
      <c r="FY20" s="302"/>
      <c r="FZ20" s="302"/>
      <c r="GA20" s="302"/>
      <c r="GB20" s="302"/>
      <c r="GC20" s="302"/>
      <c r="GD20" s="302"/>
      <c r="GE20" s="302"/>
      <c r="GF20" s="302"/>
      <c r="GG20" s="302"/>
      <c r="GH20" s="302"/>
      <c r="GI20" s="302"/>
      <c r="GJ20" s="302"/>
      <c r="GK20" s="302"/>
      <c r="GL20" s="302"/>
      <c r="GM20" s="302"/>
      <c r="GN20" s="302"/>
      <c r="GO20" s="302"/>
      <c r="GP20" s="302"/>
      <c r="GQ20" s="302"/>
      <c r="GR20" s="302"/>
      <c r="GS20" s="302"/>
      <c r="GT20" s="302"/>
      <c r="GU20" s="302"/>
      <c r="GV20" s="302"/>
      <c r="GW20" s="302"/>
      <c r="GX20" s="302"/>
      <c r="GY20" s="302"/>
      <c r="GZ20" s="302"/>
      <c r="HA20" s="302"/>
      <c r="HB20" s="302"/>
      <c r="HC20" s="302"/>
      <c r="HD20" s="302"/>
      <c r="HE20" s="302"/>
      <c r="HF20" s="302"/>
      <c r="HG20" s="302"/>
      <c r="HH20" s="302"/>
      <c r="HI20" s="302"/>
      <c r="HJ20" s="302"/>
      <c r="HK20" s="302"/>
      <c r="HL20" s="302"/>
      <c r="HM20" s="302"/>
      <c r="HN20" s="302"/>
      <c r="HO20" s="302"/>
      <c r="HP20" s="302"/>
      <c r="HQ20" s="302"/>
      <c r="HR20" s="302"/>
      <c r="HS20" s="302"/>
      <c r="HT20" s="302"/>
      <c r="HU20" s="302"/>
      <c r="HV20" s="302"/>
      <c r="HW20" s="302"/>
      <c r="HX20" s="302"/>
      <c r="HY20" s="302"/>
      <c r="HZ20" s="302"/>
      <c r="IA20" s="302"/>
      <c r="IB20" s="302"/>
      <c r="IC20" s="302"/>
      <c r="ID20" s="302"/>
      <c r="IE20" s="302"/>
      <c r="IF20" s="302"/>
      <c r="IG20" s="302"/>
      <c r="IH20" s="302"/>
      <c r="II20" s="302"/>
      <c r="IJ20" s="302"/>
      <c r="IK20" s="302"/>
      <c r="IL20" s="302"/>
    </row>
    <row r="21" spans="1:246" s="318" customFormat="1" ht="19.95" customHeight="1">
      <c r="A21" s="94"/>
      <c r="B21" s="309"/>
      <c r="C21" s="552" t="s">
        <v>168</v>
      </c>
      <c r="D21" s="317"/>
      <c r="E21" s="105">
        <f>COUNTIFS(Table1351452010[[#All],[Sales]],"คุณชนัฐฎา สนคะมี",Table1351452010[[#All],[ค่าขายอุปกรณ์]],"&gt;1")</f>
        <v>0</v>
      </c>
      <c r="F21" s="313">
        <f>SUMIF(Table1351452010[[#All],[Sales]],"คุณชนัฐฎา สนคะมี",Table1351452010[[#All],[Total
คอมฯ อุปกรณ์]])</f>
        <v>0</v>
      </c>
      <c r="G21" s="299">
        <v>0</v>
      </c>
      <c r="H21" s="300">
        <f>F21-G21</f>
        <v>0</v>
      </c>
      <c r="I21" s="308"/>
      <c r="J21" s="307"/>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2"/>
      <c r="GE21" s="302"/>
      <c r="GF21" s="302"/>
      <c r="GG21" s="302"/>
      <c r="GH21" s="302"/>
      <c r="GI21" s="302"/>
      <c r="GJ21" s="302"/>
      <c r="GK21" s="302"/>
      <c r="GL21" s="302"/>
      <c r="GM21" s="302"/>
      <c r="GN21" s="302"/>
      <c r="GO21" s="302"/>
      <c r="GP21" s="302"/>
      <c r="GQ21" s="302"/>
      <c r="GR21" s="302"/>
      <c r="GS21" s="302"/>
      <c r="GT21" s="302"/>
      <c r="GU21" s="302"/>
      <c r="GV21" s="302"/>
      <c r="GW21" s="302"/>
      <c r="GX21" s="302"/>
      <c r="GY21" s="302"/>
      <c r="GZ21" s="302"/>
      <c r="HA21" s="302"/>
      <c r="HB21" s="302"/>
      <c r="HC21" s="302"/>
      <c r="HD21" s="302"/>
      <c r="HE21" s="302"/>
      <c r="HF21" s="302"/>
      <c r="HG21" s="302"/>
      <c r="HH21" s="302"/>
      <c r="HI21" s="302"/>
      <c r="HJ21" s="302"/>
      <c r="HK21" s="302"/>
      <c r="HL21" s="302"/>
      <c r="HM21" s="302"/>
      <c r="HN21" s="302"/>
      <c r="HO21" s="302"/>
      <c r="HP21" s="302"/>
      <c r="HQ21" s="302"/>
      <c r="HR21" s="302"/>
      <c r="HS21" s="302"/>
      <c r="HT21" s="302"/>
      <c r="HU21" s="302"/>
      <c r="HV21" s="302"/>
      <c r="HW21" s="302"/>
      <c r="HX21" s="302"/>
      <c r="HY21" s="302"/>
      <c r="HZ21" s="302"/>
      <c r="IA21" s="302"/>
      <c r="IB21" s="302"/>
      <c r="IC21" s="302"/>
      <c r="ID21" s="302"/>
      <c r="IE21" s="302"/>
      <c r="IF21" s="302"/>
      <c r="IG21" s="302"/>
      <c r="IH21" s="302"/>
      <c r="II21" s="302"/>
      <c r="IJ21" s="302"/>
      <c r="IK21" s="302"/>
      <c r="IL21" s="302"/>
    </row>
    <row r="22" spans="1:246" s="318" customFormat="1" ht="19.95" customHeight="1">
      <c r="A22" s="95"/>
      <c r="B22" s="310"/>
      <c r="C22" s="106" t="s">
        <v>81</v>
      </c>
      <c r="D22" s="319"/>
      <c r="E22" s="107">
        <f>COUNTIFS(Table1351452010[[#All],[Sales]],"คุณธัญลักษณ์ หมื่นหลุบกุง",Table1351452010[[#All],[ค่าขายอุปกรณ์]],"&gt;1")</f>
        <v>0</v>
      </c>
      <c r="F22" s="313">
        <f>SUMIF(Table1351452010[[#All],[Sales]],"คุณธัญลักษณ์ หมื่นหลุบกุง",Table1351452010[[#All],[Total
คอมฯ อุปกรณ์]])</f>
        <v>0</v>
      </c>
      <c r="G22" s="299">
        <v>0</v>
      </c>
      <c r="H22" s="300">
        <f t="shared" si="10"/>
        <v>0</v>
      </c>
      <c r="I22" s="308"/>
      <c r="J22" s="308"/>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c r="BV22" s="302"/>
      <c r="BW22" s="302"/>
      <c r="BX22" s="302"/>
      <c r="BY22" s="302"/>
      <c r="BZ22" s="302"/>
      <c r="CA22" s="302"/>
      <c r="CB22" s="302"/>
      <c r="CC22" s="302"/>
      <c r="CD22" s="302"/>
      <c r="CE22" s="302"/>
      <c r="CF22" s="302"/>
      <c r="CG22" s="302"/>
      <c r="CH22" s="302"/>
      <c r="CI22" s="302"/>
      <c r="CJ22" s="302"/>
      <c r="CK22" s="302"/>
      <c r="CL22" s="302"/>
      <c r="CM22" s="302"/>
      <c r="CN22" s="302"/>
      <c r="CO22" s="302"/>
      <c r="CP22" s="302"/>
      <c r="CQ22" s="302"/>
      <c r="CR22" s="302"/>
      <c r="CS22" s="302"/>
      <c r="CT22" s="302"/>
      <c r="CU22" s="302"/>
      <c r="CV22" s="302"/>
      <c r="CW22" s="302"/>
      <c r="CX22" s="302"/>
      <c r="CY22" s="302"/>
      <c r="CZ22" s="302"/>
      <c r="DA22" s="302"/>
      <c r="DB22" s="302"/>
      <c r="DC22" s="302"/>
      <c r="DD22" s="302"/>
      <c r="DE22" s="302"/>
      <c r="DF22" s="302"/>
      <c r="DG22" s="302"/>
      <c r="DH22" s="302"/>
      <c r="DI22" s="302"/>
      <c r="DJ22" s="302"/>
      <c r="DK22" s="302"/>
      <c r="DL22" s="302"/>
      <c r="DM22" s="302"/>
      <c r="DN22" s="302"/>
      <c r="DO22" s="302"/>
      <c r="DP22" s="302"/>
      <c r="DQ22" s="302"/>
      <c r="DR22" s="302"/>
      <c r="DS22" s="302"/>
      <c r="DT22" s="302"/>
      <c r="DU22" s="302"/>
      <c r="DV22" s="302"/>
      <c r="DW22" s="302"/>
      <c r="DX22" s="302"/>
      <c r="DY22" s="302"/>
      <c r="DZ22" s="302"/>
      <c r="EA22" s="302"/>
      <c r="EB22" s="302"/>
      <c r="EC22" s="302"/>
      <c r="ED22" s="302"/>
      <c r="EE22" s="302"/>
      <c r="EF22" s="302"/>
      <c r="EG22" s="302"/>
      <c r="EH22" s="302"/>
      <c r="EI22" s="302"/>
      <c r="EJ22" s="302"/>
      <c r="EK22" s="302"/>
      <c r="EL22" s="302"/>
      <c r="EM22" s="302"/>
      <c r="EN22" s="302"/>
      <c r="EO22" s="302"/>
      <c r="EP22" s="302"/>
      <c r="EQ22" s="302"/>
      <c r="ER22" s="302"/>
      <c r="ES22" s="302"/>
      <c r="ET22" s="302"/>
      <c r="EU22" s="302"/>
      <c r="EV22" s="302"/>
      <c r="EW22" s="302"/>
      <c r="EX22" s="302"/>
      <c r="EY22" s="302"/>
      <c r="EZ22" s="302"/>
      <c r="FA22" s="302"/>
      <c r="FB22" s="302"/>
      <c r="FC22" s="302"/>
      <c r="FD22" s="302"/>
      <c r="FE22" s="302"/>
      <c r="FF22" s="302"/>
      <c r="FG22" s="302"/>
      <c r="FH22" s="302"/>
      <c r="FI22" s="302"/>
      <c r="FJ22" s="302"/>
      <c r="FK22" s="302"/>
      <c r="FL22" s="302"/>
      <c r="FM22" s="302"/>
      <c r="FN22" s="302"/>
      <c r="FO22" s="302"/>
      <c r="FP22" s="302"/>
      <c r="FQ22" s="302"/>
      <c r="FR22" s="302"/>
      <c r="FS22" s="302"/>
      <c r="FT22" s="302"/>
      <c r="FU22" s="302"/>
      <c r="FV22" s="302"/>
      <c r="FW22" s="302"/>
      <c r="FX22" s="302"/>
      <c r="FY22" s="302"/>
      <c r="FZ22" s="302"/>
      <c r="GA22" s="302"/>
      <c r="GB22" s="302"/>
      <c r="GC22" s="302"/>
      <c r="GD22" s="302"/>
      <c r="GE22" s="302"/>
      <c r="GF22" s="302"/>
      <c r="GG22" s="302"/>
      <c r="GH22" s="302"/>
      <c r="GI22" s="302"/>
      <c r="GJ22" s="302"/>
      <c r="GK22" s="302"/>
      <c r="GL22" s="302"/>
      <c r="GM22" s="302"/>
      <c r="GN22" s="302"/>
      <c r="GO22" s="302"/>
      <c r="GP22" s="302"/>
      <c r="GQ22" s="302"/>
      <c r="GR22" s="302"/>
      <c r="GS22" s="302"/>
      <c r="GT22" s="302"/>
      <c r="GU22" s="302"/>
      <c r="GV22" s="302"/>
      <c r="GW22" s="302"/>
      <c r="GX22" s="302"/>
      <c r="GY22" s="302"/>
      <c r="GZ22" s="302"/>
      <c r="HA22" s="302"/>
      <c r="HB22" s="302"/>
      <c r="HC22" s="302"/>
      <c r="HD22" s="302"/>
      <c r="HE22" s="302"/>
      <c r="HF22" s="302"/>
      <c r="HG22" s="302"/>
      <c r="HH22" s="302"/>
      <c r="HI22" s="302"/>
      <c r="HJ22" s="302"/>
      <c r="HK22" s="302"/>
      <c r="HL22" s="302"/>
      <c r="HM22" s="302"/>
      <c r="HN22" s="302"/>
      <c r="HO22" s="302"/>
      <c r="HP22" s="302"/>
      <c r="HQ22" s="302"/>
      <c r="HR22" s="302"/>
      <c r="HS22" s="302"/>
      <c r="HT22" s="302"/>
      <c r="HU22" s="302"/>
      <c r="HV22" s="302"/>
      <c r="HW22" s="302"/>
      <c r="HX22" s="302"/>
      <c r="HY22" s="302"/>
      <c r="HZ22" s="302"/>
      <c r="IA22" s="302"/>
      <c r="IB22" s="302"/>
      <c r="IC22" s="302"/>
      <c r="ID22" s="302"/>
      <c r="IE22" s="302"/>
      <c r="IF22" s="302"/>
      <c r="IG22" s="302"/>
      <c r="IH22" s="302"/>
      <c r="II22" s="302"/>
      <c r="IJ22" s="302"/>
      <c r="IK22" s="302"/>
      <c r="IL22" s="302"/>
    </row>
    <row r="23" spans="1:246" s="302" customFormat="1" ht="19.95" customHeight="1">
      <c r="A23" s="93">
        <v>3</v>
      </c>
      <c r="B23" s="320" t="s">
        <v>11</v>
      </c>
      <c r="C23" s="321" t="s">
        <v>82</v>
      </c>
      <c r="D23" s="519" t="s">
        <v>27</v>
      </c>
      <c r="E23" s="105">
        <f>COUNTIFS(Table1351452010[[#All],[Sales]],"คุณนิมิต จุ้ยอยู่ทอง",Table1351452010[[#All],[Total 
คอมฯค่าติดตั้ง/ค่าเชื่อมสัญญาณ]],"&gt;1")</f>
        <v>0</v>
      </c>
      <c r="F23" s="313">
        <f>SUMIF(Table1351452010[[#All],[Sales]],"คุณนิมิต จุ้ยอยู่ทอง",Table1351452010[[#All],[Total 
คอมฯค่าติดตั้ง/ค่าเชื่อมสัญญาณ]])</f>
        <v>0</v>
      </c>
      <c r="G23" s="299">
        <v>0</v>
      </c>
      <c r="H23" s="300">
        <f t="shared" si="10"/>
        <v>0</v>
      </c>
      <c r="I23" s="308"/>
      <c r="J23" s="322"/>
    </row>
    <row r="24" spans="1:246" s="302" customFormat="1" ht="19.95" customHeight="1">
      <c r="A24" s="94"/>
      <c r="B24" s="323"/>
      <c r="C24" s="321" t="s">
        <v>83</v>
      </c>
      <c r="D24" s="520"/>
      <c r="E24" s="105">
        <f>COUNTIFS(Table1351452010[[#All],[Sales]],"คุณธวัช มีแสง",Table1351452010[[#All],[Total 
คอมฯค่าติดตั้ง/ค่าเชื่อมสัญญาณ]],"&gt;1")</f>
        <v>0</v>
      </c>
      <c r="F24" s="313">
        <f>SUMIF(Table1351452010[[#All],[Sales]],"คุณธวัช มีแสง",Table1351452010[[#All],[Total 
คอมฯค่าติดตั้ง/ค่าเชื่อมสัญญาณ]])</f>
        <v>0</v>
      </c>
      <c r="G24" s="299">
        <v>0</v>
      </c>
      <c r="H24" s="300">
        <f t="shared" si="10"/>
        <v>0</v>
      </c>
      <c r="I24" s="308"/>
      <c r="J24" s="322"/>
    </row>
    <row r="25" spans="1:246" s="302" customFormat="1" ht="19.95" customHeight="1">
      <c r="A25" s="94"/>
      <c r="B25" s="323"/>
      <c r="C25" s="102" t="s">
        <v>84</v>
      </c>
      <c r="D25" s="520"/>
      <c r="E25" s="105">
        <f>COUNTIFS(Table1351452010[[#All],[Sales]],"คุณแดง มูลสองแคว",Table1351452010[[#All],[Total 
คอมฯค่าติดตั้ง/ค่าเชื่อมสัญญาณ]],"&gt;1")</f>
        <v>0</v>
      </c>
      <c r="F25" s="313">
        <f>SUMIF(Table1351452010[[#All],[Sales]],"คุณแดง มูลสองแคว",Table1351452010[[#All],[Total 
คอมฯค่าติดตั้ง/ค่าเชื่อมสัญญาณ]])</f>
        <v>0</v>
      </c>
      <c r="G25" s="299">
        <v>0</v>
      </c>
      <c r="H25" s="300">
        <f t="shared" ref="H25:H31" si="13">F25-G25</f>
        <v>0</v>
      </c>
      <c r="I25" s="308"/>
      <c r="J25" s="322"/>
    </row>
    <row r="26" spans="1:246" s="302" customFormat="1" ht="19.95" customHeight="1">
      <c r="A26" s="94"/>
      <c r="B26" s="323"/>
      <c r="C26" s="177" t="s">
        <v>85</v>
      </c>
      <c r="D26" s="520"/>
      <c r="E26" s="105">
        <f>COUNTIFS(Table1351452010[[#All],[Sales]],"คุณนิยนต์ อยู่ทะเล",Table1351452010[[#All],[Total 
คอมฯค่าติดตั้ง/ค่าเชื่อมสัญญาณ]],"&gt;1")</f>
        <v>0</v>
      </c>
      <c r="F26" s="313">
        <f>SUMIF(Table1351452010[[#All],[Sales]],"คุณนิยนต์ อยู่ทะเล",Table1351452010[[#All],[Total 
คอมฯค่าติดตั้ง/ค่าเชื่อมสัญญาณ]])</f>
        <v>0</v>
      </c>
      <c r="G26" s="299">
        <v>0</v>
      </c>
      <c r="H26" s="300">
        <f t="shared" si="13"/>
        <v>0</v>
      </c>
      <c r="I26" s="308"/>
      <c r="J26" s="322"/>
    </row>
    <row r="27" spans="1:246" s="302" customFormat="1" ht="19.95" customHeight="1">
      <c r="A27" s="94"/>
      <c r="B27" s="323"/>
      <c r="C27" s="181" t="s">
        <v>78</v>
      </c>
      <c r="D27" s="520"/>
      <c r="E27" s="105">
        <f>COUNTIFS(Table1351452010[[#All],[Sales]],"คุณรุ่งอรุณ อินบุญรอด",Table1351452010[[#All],[Total 
คอมฯค่าติดตั้ง/ค่าเชื่อมสัญญาณ]],"&gt;1")</f>
        <v>2</v>
      </c>
      <c r="F27" s="556">
        <f>SUMIF(Table1351452010[[#All],[Sales]],"คุณรุ่งอรุณ อินบุญรอด",Table1351452010[[#All],[Total 
คอมฯค่าติดตั้ง/ค่าเชื่อมสัญญาณ]])</f>
        <v>222.84</v>
      </c>
      <c r="G27" s="299">
        <v>0</v>
      </c>
      <c r="H27" s="300">
        <f t="shared" si="13"/>
        <v>222.84</v>
      </c>
      <c r="I27" s="308"/>
      <c r="J27" s="322"/>
    </row>
    <row r="28" spans="1:246" s="302" customFormat="1" ht="19.95" customHeight="1">
      <c r="A28" s="94"/>
      <c r="B28" s="309"/>
      <c r="C28" s="321" t="s">
        <v>79</v>
      </c>
      <c r="D28" s="520"/>
      <c r="E28" s="105">
        <f>COUNTIFS(Table1351452010[[#All],[Sales]],"คุณศศินาถ จุ้ยอยู่ทอง",Table1351452010[[#All],[Total 
คอมฯค่าติดตั้ง/ค่าเชื่อมสัญญาณ]],"&gt;1")</f>
        <v>0</v>
      </c>
      <c r="F28" s="313">
        <f>SUMIF(Table1351452010[[#All],[Sales]],"คุณศศินาถ จุ้ยอยู่ทอง",Table1351452010[[#All],[Total 
คอมฯค่าติดตั้ง/ค่าเชื่อมสัญญาณ]])</f>
        <v>0</v>
      </c>
      <c r="G28" s="299">
        <v>0</v>
      </c>
      <c r="H28" s="300">
        <f t="shared" si="13"/>
        <v>0</v>
      </c>
      <c r="I28" s="308"/>
      <c r="J28" s="322"/>
    </row>
    <row r="29" spans="1:246" s="302" customFormat="1" ht="19.95" customHeight="1">
      <c r="A29" s="94"/>
      <c r="B29" s="309"/>
      <c r="C29" s="321" t="s">
        <v>103</v>
      </c>
      <c r="D29" s="520"/>
      <c r="E29" s="105">
        <f>COUNTIFS(Table1351452010[[#All],[Sales]],"คุณณรงศ์ศักย์ เหล่ารัตนเวช",Table1351452010[[#All],[Total 
คอมฯค่าติดตั้ง/ค่าเชื่อมสัญญาณ]],"&gt;1")</f>
        <v>0</v>
      </c>
      <c r="F29" s="313">
        <f>SUMIF(Table1351452010[[#All],[Sales]],"คุณณรงศ์ศักย์ เหล่ารัตนเวช",Table1351452010[[#All],[Total 
คอมฯค่าติดตั้ง/ค่าเชื่อมสัญญาณ]])</f>
        <v>0</v>
      </c>
      <c r="G29" s="299">
        <v>0</v>
      </c>
      <c r="H29" s="300">
        <f t="shared" si="13"/>
        <v>0</v>
      </c>
      <c r="I29" s="308"/>
      <c r="J29" s="322"/>
    </row>
    <row r="30" spans="1:246" s="302" customFormat="1" ht="19.95" customHeight="1">
      <c r="A30" s="94"/>
      <c r="B30" s="309"/>
      <c r="C30" s="554" t="s">
        <v>168</v>
      </c>
      <c r="D30" s="520"/>
      <c r="E30" s="555"/>
      <c r="F30" s="553"/>
      <c r="G30" s="550"/>
      <c r="H30" s="551"/>
      <c r="I30" s="308"/>
      <c r="J30" s="322"/>
    </row>
    <row r="31" spans="1:246" s="302" customFormat="1" ht="19.95" customHeight="1">
      <c r="A31" s="94"/>
      <c r="B31" s="324"/>
      <c r="C31" s="108" t="s">
        <v>81</v>
      </c>
      <c r="D31" s="521"/>
      <c r="E31" s="105">
        <f>COUNTIFS(Table1351452010[[#All],[Sales]],"คุณธัญลักษณ์ หมื่นหลุบกุง",Table1351452010[[#All],[Total 
คอมฯค่าติดตั้ง/ค่าเชื่อมสัญญาณ]],"&gt;1")</f>
        <v>0</v>
      </c>
      <c r="F31" s="313">
        <f>SUMIF(Table1351452010[[#All],[Sales]],"คุณธัญลักษณ์ หมื่นหลุบกุง",Table1351452010[[#All],[Total 
คอมฯค่าติดตั้ง/ค่าเชื่อมสัญญาณ]])</f>
        <v>0</v>
      </c>
      <c r="G31" s="299">
        <v>0</v>
      </c>
      <c r="H31" s="300">
        <f t="shared" si="13"/>
        <v>0</v>
      </c>
      <c r="I31" s="322"/>
      <c r="J31" s="322"/>
    </row>
    <row r="32" spans="1:246" s="302" customFormat="1" ht="21" customHeight="1">
      <c r="A32" s="325"/>
      <c r="B32" s="125" t="s">
        <v>12</v>
      </c>
      <c r="C32" s="125"/>
      <c r="D32" s="125"/>
      <c r="E32" s="118">
        <f>SUM(E5:E31)</f>
        <v>7</v>
      </c>
      <c r="F32" s="326">
        <f>SUM(F5:F31)</f>
        <v>11578.91</v>
      </c>
      <c r="G32" s="326">
        <f>SUM(G5:G31)</f>
        <v>454.24279999999999</v>
      </c>
      <c r="H32" s="327">
        <f>SUM(H5:H31)</f>
        <v>11124.6672</v>
      </c>
      <c r="I32" s="322"/>
      <c r="J32" s="322"/>
    </row>
    <row r="33" spans="2:11" s="302" customFormat="1" ht="13.95" customHeight="1">
      <c r="B33" s="328"/>
      <c r="C33" s="328"/>
      <c r="D33" s="328"/>
      <c r="E33" s="329"/>
      <c r="F33" s="329"/>
      <c r="G33" s="329"/>
      <c r="H33" s="330"/>
      <c r="I33" s="329"/>
    </row>
    <row r="34" spans="2:11" s="302" customFormat="1" ht="7.95" customHeight="1">
      <c r="B34" s="328"/>
      <c r="C34" s="328"/>
      <c r="D34" s="328"/>
      <c r="E34" s="329"/>
      <c r="F34" s="329"/>
      <c r="G34" s="329"/>
      <c r="H34" s="329"/>
      <c r="I34" s="329"/>
    </row>
    <row r="35" spans="2:11" ht="19.95" customHeight="1">
      <c r="B35" s="513" t="s">
        <v>106</v>
      </c>
      <c r="C35" s="514"/>
      <c r="D35" s="514"/>
      <c r="E35" s="514"/>
      <c r="F35" s="514"/>
      <c r="G35" s="514"/>
      <c r="H35" s="514"/>
      <c r="I35" s="514"/>
      <c r="J35" s="514"/>
      <c r="K35" s="515"/>
    </row>
    <row r="36" spans="2:11" s="302" customFormat="1" ht="14.55" customHeight="1">
      <c r="B36" s="516"/>
      <c r="C36" s="517"/>
      <c r="D36" s="517"/>
      <c r="E36" s="517"/>
      <c r="F36" s="517"/>
      <c r="G36" s="517"/>
      <c r="H36" s="517"/>
      <c r="I36" s="517"/>
      <c r="J36" s="517"/>
      <c r="K36" s="518"/>
    </row>
    <row r="37" spans="2:11" s="369" customFormat="1" ht="33.6" customHeight="1">
      <c r="B37" s="379" t="s">
        <v>42</v>
      </c>
      <c r="C37" s="379" t="s">
        <v>13</v>
      </c>
      <c r="D37" s="379" t="s">
        <v>35</v>
      </c>
      <c r="E37" s="380" t="s">
        <v>33</v>
      </c>
      <c r="F37" s="380" t="s">
        <v>15</v>
      </c>
      <c r="G37" s="380" t="s">
        <v>34</v>
      </c>
      <c r="H37" s="379" t="s">
        <v>32</v>
      </c>
      <c r="I37" s="379" t="s">
        <v>30</v>
      </c>
      <c r="J37" s="381" t="s">
        <v>89</v>
      </c>
      <c r="K37" s="381" t="s">
        <v>90</v>
      </c>
    </row>
    <row r="38" spans="2:11" ht="19.95" customHeight="1">
      <c r="B38" s="122" t="s">
        <v>23</v>
      </c>
      <c r="C38" s="115" t="s">
        <v>91</v>
      </c>
      <c r="D38" s="331" t="s">
        <v>82</v>
      </c>
      <c r="E38" s="332">
        <f>SUM(G83)</f>
        <v>0</v>
      </c>
      <c r="F38" s="333">
        <v>0</v>
      </c>
      <c r="G38" s="334">
        <f>SUM(E38-F38)</f>
        <v>0</v>
      </c>
      <c r="H38" s="119">
        <v>0</v>
      </c>
      <c r="I38" s="377">
        <f>SUM(G38-H38)</f>
        <v>0</v>
      </c>
      <c r="J38" s="293" t="s">
        <v>101</v>
      </c>
      <c r="K38" s="294" t="s">
        <v>94</v>
      </c>
    </row>
    <row r="39" spans="2:11" ht="19.95" customHeight="1">
      <c r="B39" s="124"/>
      <c r="C39" s="115" t="s">
        <v>91</v>
      </c>
      <c r="D39" s="331" t="s">
        <v>83</v>
      </c>
      <c r="E39" s="332">
        <f>SUM(G84)</f>
        <v>1480.3704000000002</v>
      </c>
      <c r="F39" s="333"/>
      <c r="G39" s="334">
        <f t="shared" ref="G39:G48" si="14">SUM(E39-F39)</f>
        <v>1480.3704000000002</v>
      </c>
      <c r="H39" s="119">
        <v>0</v>
      </c>
      <c r="I39" s="377">
        <f t="shared" ref="I39:I48" si="15">SUM(G39-H39)</f>
        <v>1480.3704000000002</v>
      </c>
      <c r="J39" s="293" t="s">
        <v>101</v>
      </c>
      <c r="K39" s="294" t="s">
        <v>95</v>
      </c>
    </row>
    <row r="40" spans="2:11" ht="19.95" customHeight="1">
      <c r="B40" s="124"/>
      <c r="C40" s="115" t="s">
        <v>91</v>
      </c>
      <c r="D40" s="331" t="s">
        <v>84</v>
      </c>
      <c r="E40" s="335">
        <f>SUM(G85)</f>
        <v>0</v>
      </c>
      <c r="F40" s="334">
        <v>0</v>
      </c>
      <c r="G40" s="334">
        <f t="shared" ref="G40" si="16">SUM(E40-F40)</f>
        <v>0</v>
      </c>
      <c r="H40" s="126">
        <v>0</v>
      </c>
      <c r="I40" s="377">
        <f t="shared" ref="I40" si="17">SUM(G40-H40)</f>
        <v>0</v>
      </c>
      <c r="J40" s="293" t="s">
        <v>101</v>
      </c>
      <c r="K40" s="294" t="s">
        <v>96</v>
      </c>
    </row>
    <row r="41" spans="2:11" ht="19.95" customHeight="1">
      <c r="B41" s="124"/>
      <c r="C41" s="115" t="s">
        <v>17</v>
      </c>
      <c r="D41" s="336" t="s">
        <v>85</v>
      </c>
      <c r="E41" s="335">
        <f>SUM(G86)</f>
        <v>0</v>
      </c>
      <c r="F41" s="334">
        <v>0</v>
      </c>
      <c r="G41" s="334">
        <f t="shared" ref="G41" si="18">SUM(E41-F41)</f>
        <v>0</v>
      </c>
      <c r="H41" s="126">
        <v>0</v>
      </c>
      <c r="I41" s="377">
        <f t="shared" ref="I41" si="19">SUM(G41-H41)</f>
        <v>0</v>
      </c>
      <c r="J41" s="293" t="s">
        <v>101</v>
      </c>
      <c r="K41" s="294" t="s">
        <v>97</v>
      </c>
    </row>
    <row r="42" spans="2:11" ht="19.95" customHeight="1">
      <c r="B42" s="124"/>
      <c r="C42" s="115" t="s">
        <v>91</v>
      </c>
      <c r="D42" s="337" t="s">
        <v>78</v>
      </c>
      <c r="E42" s="335">
        <f>SUM(G87)</f>
        <v>1967.13</v>
      </c>
      <c r="F42" s="334">
        <v>0</v>
      </c>
      <c r="G42" s="334">
        <f>SUM(E42-F42)</f>
        <v>1967.13</v>
      </c>
      <c r="H42" s="126">
        <v>0</v>
      </c>
      <c r="I42" s="377">
        <f t="shared" ref="I42" si="20">SUM(G42-H42)</f>
        <v>1967.13</v>
      </c>
      <c r="J42" s="293" t="s">
        <v>101</v>
      </c>
      <c r="K42" s="294" t="s">
        <v>98</v>
      </c>
    </row>
    <row r="43" spans="2:11" ht="19.95" customHeight="1">
      <c r="B43" s="124"/>
      <c r="C43" s="115" t="s">
        <v>91</v>
      </c>
      <c r="D43" s="337" t="s">
        <v>79</v>
      </c>
      <c r="E43" s="335">
        <f>SUM(G88)</f>
        <v>2016</v>
      </c>
      <c r="F43" s="334">
        <v>0</v>
      </c>
      <c r="G43" s="334">
        <f>SUM(E43-F43)</f>
        <v>2016</v>
      </c>
      <c r="H43" s="126">
        <v>0</v>
      </c>
      <c r="I43" s="377">
        <f t="shared" ref="I43" si="21">SUM(G43-H43)</f>
        <v>2016</v>
      </c>
      <c r="J43" s="293" t="s">
        <v>101</v>
      </c>
      <c r="K43" s="294" t="s">
        <v>99</v>
      </c>
    </row>
    <row r="44" spans="2:11" ht="19.95" customHeight="1">
      <c r="B44" s="124"/>
      <c r="C44" s="115" t="s">
        <v>91</v>
      </c>
      <c r="D44" s="357" t="s">
        <v>103</v>
      </c>
      <c r="E44" s="335">
        <f>SUM(G89)</f>
        <v>0</v>
      </c>
      <c r="F44" s="334">
        <v>0</v>
      </c>
      <c r="G44" s="334">
        <f>SUM(E44-F44)</f>
        <v>0</v>
      </c>
      <c r="H44" s="126">
        <v>0</v>
      </c>
      <c r="I44" s="377">
        <f t="shared" ref="I44" si="22">SUM(G44-H44)</f>
        <v>0</v>
      </c>
      <c r="J44" s="293" t="s">
        <v>101</v>
      </c>
      <c r="K44" s="294" t="s">
        <v>104</v>
      </c>
    </row>
    <row r="45" spans="2:11" ht="19.95" customHeight="1">
      <c r="B45" s="124"/>
      <c r="C45" s="361" t="s">
        <v>17</v>
      </c>
      <c r="D45" s="365" t="s">
        <v>168</v>
      </c>
      <c r="E45" s="335">
        <f>SUM(G90)</f>
        <v>2880</v>
      </c>
      <c r="F45" s="334">
        <v>0</v>
      </c>
      <c r="G45" s="334">
        <f>SUM(E45-F45)</f>
        <v>2880</v>
      </c>
      <c r="H45" s="126">
        <v>0</v>
      </c>
      <c r="I45" s="377">
        <f t="shared" ref="I45" si="23">SUM(G45-H45)</f>
        <v>2880</v>
      </c>
      <c r="J45" s="293" t="s">
        <v>101</v>
      </c>
      <c r="K45" s="368" t="s">
        <v>172</v>
      </c>
    </row>
    <row r="46" spans="2:11" ht="19.95" customHeight="1">
      <c r="B46" s="123"/>
      <c r="C46" s="115" t="s">
        <v>91</v>
      </c>
      <c r="D46" s="331" t="s">
        <v>81</v>
      </c>
      <c r="E46" s="335">
        <f t="shared" ref="E46" si="24">SUM(G91)</f>
        <v>0</v>
      </c>
      <c r="F46" s="334">
        <v>0</v>
      </c>
      <c r="G46" s="334">
        <f t="shared" si="14"/>
        <v>0</v>
      </c>
      <c r="H46" s="126">
        <v>0</v>
      </c>
      <c r="I46" s="377">
        <f t="shared" si="15"/>
        <v>0</v>
      </c>
      <c r="J46" s="293" t="s">
        <v>101</v>
      </c>
      <c r="K46" s="295" t="s">
        <v>100</v>
      </c>
    </row>
    <row r="47" spans="2:11" ht="19.95" customHeight="1">
      <c r="B47" s="117" t="s">
        <v>71</v>
      </c>
      <c r="C47" s="115" t="s">
        <v>91</v>
      </c>
      <c r="D47" s="337" t="s">
        <v>83</v>
      </c>
      <c r="E47" s="332">
        <f>SUM(G92)</f>
        <v>556.23336000000006</v>
      </c>
      <c r="F47" s="333">
        <v>0</v>
      </c>
      <c r="G47" s="334">
        <f t="shared" si="14"/>
        <v>556.23336000000006</v>
      </c>
      <c r="H47" s="338">
        <v>0</v>
      </c>
      <c r="I47" s="377">
        <f t="shared" si="15"/>
        <v>556.23336000000006</v>
      </c>
      <c r="J47" s="293" t="s">
        <v>101</v>
      </c>
      <c r="K47" s="293" t="s">
        <v>95</v>
      </c>
    </row>
    <row r="48" spans="2:11" ht="19.95" customHeight="1">
      <c r="B48" s="117" t="s">
        <v>24</v>
      </c>
      <c r="C48" s="115" t="s">
        <v>72</v>
      </c>
      <c r="D48" s="337" t="s">
        <v>111</v>
      </c>
      <c r="E48" s="332">
        <f>SUM(G93)</f>
        <v>1334.9600639999999</v>
      </c>
      <c r="F48" s="333">
        <v>0</v>
      </c>
      <c r="G48" s="334">
        <f t="shared" si="14"/>
        <v>1334.9600639999999</v>
      </c>
      <c r="H48" s="338">
        <v>0</v>
      </c>
      <c r="I48" s="377">
        <f t="shared" si="15"/>
        <v>1334.9600639999999</v>
      </c>
      <c r="J48" s="293" t="s">
        <v>101</v>
      </c>
      <c r="K48" s="293" t="s">
        <v>112</v>
      </c>
    </row>
    <row r="49" spans="2:13" ht="19.95" customHeight="1">
      <c r="B49" s="193" t="s">
        <v>25</v>
      </c>
      <c r="C49" s="178" t="s">
        <v>72</v>
      </c>
      <c r="D49" s="337" t="s">
        <v>92</v>
      </c>
      <c r="E49" s="332">
        <f>SUM(G94)</f>
        <v>889.97337600000003</v>
      </c>
      <c r="F49" s="333">
        <v>0</v>
      </c>
      <c r="G49" s="334">
        <f t="shared" ref="G49" si="25">SUM(E49-F49)</f>
        <v>889.97337600000003</v>
      </c>
      <c r="H49" s="338">
        <v>0</v>
      </c>
      <c r="I49" s="377">
        <f t="shared" ref="I49" si="26">SUM(G49-H49)</f>
        <v>889.97337600000003</v>
      </c>
      <c r="J49" s="293" t="s">
        <v>101</v>
      </c>
      <c r="K49" s="293" t="s">
        <v>102</v>
      </c>
      <c r="L49" s="339"/>
    </row>
    <row r="50" spans="2:13" s="346" customFormat="1" ht="19.95" customHeight="1">
      <c r="B50" s="128"/>
      <c r="C50" s="129"/>
      <c r="D50" s="340"/>
      <c r="E50" s="341">
        <f>SUM(E38:E49)</f>
        <v>11124.667200000002</v>
      </c>
      <c r="F50" s="342"/>
      <c r="G50" s="343">
        <f>SUM(G38:G49)</f>
        <v>11124.667200000002</v>
      </c>
      <c r="H50" s="344"/>
      <c r="I50" s="345">
        <f>SUM(I38:I49)</f>
        <v>11124.667200000002</v>
      </c>
      <c r="J50" s="292"/>
      <c r="K50" s="292"/>
    </row>
    <row r="51" spans="2:13" ht="15.6">
      <c r="B51" s="72"/>
      <c r="C51" s="72"/>
      <c r="D51" s="73"/>
      <c r="E51" s="347"/>
      <c r="F51" s="348"/>
      <c r="G51" s="348"/>
      <c r="H51" s="349"/>
      <c r="I51" s="69"/>
    </row>
    <row r="52" spans="2:13" ht="15.6">
      <c r="B52" s="72"/>
      <c r="C52" s="72"/>
      <c r="D52" s="73"/>
      <c r="E52" s="347"/>
      <c r="F52" s="348"/>
      <c r="G52" s="348"/>
      <c r="H52" s="348"/>
      <c r="I52" s="348"/>
    </row>
    <row r="53" spans="2:13" s="302" customFormat="1" ht="14.55" customHeight="1">
      <c r="E53" s="350"/>
      <c r="F53" s="350"/>
      <c r="G53" s="350"/>
      <c r="H53" s="350"/>
      <c r="I53" s="69"/>
      <c r="J53" s="69"/>
      <c r="K53" s="69"/>
      <c r="L53" s="69"/>
      <c r="M53" s="69"/>
    </row>
    <row r="54" spans="2:13" ht="13.8">
      <c r="E54" s="351"/>
      <c r="F54" s="351"/>
      <c r="G54" s="351"/>
      <c r="H54" s="351"/>
      <c r="I54" s="69"/>
    </row>
    <row r="55" spans="2:13" ht="13.8">
      <c r="E55" s="351"/>
      <c r="F55" s="351"/>
      <c r="G55" s="351"/>
      <c r="H55" s="351"/>
      <c r="I55" s="69"/>
    </row>
    <row r="56" spans="2:13" ht="13.8">
      <c r="E56" s="351"/>
      <c r="F56" s="351"/>
      <c r="G56" s="351"/>
      <c r="H56" s="351"/>
      <c r="I56" s="69"/>
    </row>
    <row r="57" spans="2:13" ht="13.8">
      <c r="E57" s="351"/>
      <c r="F57" s="351"/>
      <c r="G57" s="351"/>
      <c r="H57" s="351"/>
      <c r="I57" s="69"/>
    </row>
    <row r="58" spans="2:13" ht="13.8">
      <c r="E58" s="351"/>
      <c r="F58" s="351"/>
      <c r="G58" s="351"/>
      <c r="H58" s="351"/>
      <c r="I58" s="69"/>
    </row>
    <row r="59" spans="2:13" ht="13.8">
      <c r="E59" s="351"/>
      <c r="F59" s="351"/>
      <c r="G59" s="351"/>
      <c r="H59" s="351"/>
      <c r="I59" s="69"/>
    </row>
    <row r="60" spans="2:13" ht="13.8" hidden="1">
      <c r="E60" s="351"/>
      <c r="F60" s="351"/>
      <c r="G60" s="351"/>
      <c r="H60" s="351"/>
      <c r="I60" s="69"/>
    </row>
    <row r="61" spans="2:13" ht="13.8" hidden="1">
      <c r="E61" s="351"/>
      <c r="F61" s="351"/>
      <c r="G61" s="351"/>
      <c r="H61" s="351"/>
      <c r="I61" s="69"/>
    </row>
    <row r="62" spans="2:13" ht="13.8" hidden="1">
      <c r="E62" s="351"/>
      <c r="F62" s="351"/>
      <c r="G62" s="351"/>
      <c r="H62" s="351"/>
      <c r="I62" s="69"/>
    </row>
    <row r="63" spans="2:13" ht="13.8" hidden="1">
      <c r="E63" s="351"/>
      <c r="F63" s="351"/>
      <c r="G63" s="351"/>
      <c r="H63" s="351"/>
      <c r="I63" s="69"/>
    </row>
    <row r="64" spans="2:13" ht="13.8" hidden="1">
      <c r="E64" s="351"/>
      <c r="F64" s="351"/>
      <c r="G64" s="351"/>
      <c r="H64" s="351"/>
      <c r="I64" s="69"/>
    </row>
    <row r="65" spans="5:9" ht="13.8" hidden="1">
      <c r="E65" s="351"/>
      <c r="F65" s="351"/>
      <c r="G65" s="351"/>
      <c r="H65" s="351"/>
      <c r="I65" s="69"/>
    </row>
    <row r="66" spans="5:9" ht="13.8" hidden="1">
      <c r="E66" s="351"/>
      <c r="F66" s="351"/>
      <c r="G66" s="351"/>
      <c r="H66" s="351"/>
      <c r="I66" s="69"/>
    </row>
    <row r="67" spans="5:9" ht="13.8" hidden="1">
      <c r="E67" s="351"/>
      <c r="F67" s="351"/>
      <c r="G67" s="351"/>
      <c r="H67" s="351"/>
      <c r="I67" s="69"/>
    </row>
    <row r="68" spans="5:9" ht="13.8" hidden="1">
      <c r="E68" s="351"/>
      <c r="F68" s="351"/>
      <c r="G68" s="351"/>
      <c r="H68" s="351"/>
      <c r="I68" s="69"/>
    </row>
    <row r="69" spans="5:9" ht="13.8" hidden="1">
      <c r="E69" s="351"/>
      <c r="F69" s="351"/>
      <c r="G69" s="351"/>
      <c r="H69" s="351"/>
      <c r="I69" s="69"/>
    </row>
    <row r="70" spans="5:9" ht="13.8" hidden="1">
      <c r="E70" s="351"/>
      <c r="F70" s="351"/>
      <c r="G70" s="351"/>
      <c r="H70" s="351"/>
      <c r="I70" s="69"/>
    </row>
    <row r="71" spans="5:9" ht="13.8" hidden="1">
      <c r="E71" s="351"/>
      <c r="F71" s="351"/>
      <c r="G71" s="351"/>
      <c r="H71" s="351"/>
      <c r="I71" s="69"/>
    </row>
    <row r="72" spans="5:9" ht="13.8" hidden="1">
      <c r="E72" s="351"/>
      <c r="F72" s="351"/>
      <c r="G72" s="351"/>
      <c r="H72" s="351"/>
      <c r="I72" s="69"/>
    </row>
    <row r="73" spans="5:9" ht="13.8" hidden="1">
      <c r="E73" s="351"/>
      <c r="F73" s="351"/>
      <c r="G73" s="351"/>
      <c r="H73" s="351"/>
      <c r="I73" s="69"/>
    </row>
    <row r="74" spans="5:9" ht="13.8">
      <c r="E74" s="351"/>
      <c r="F74" s="351"/>
      <c r="G74" s="351"/>
      <c r="H74" s="351"/>
      <c r="I74" s="69"/>
    </row>
    <row r="75" spans="5:9" ht="13.8">
      <c r="E75" s="351"/>
      <c r="F75" s="351"/>
      <c r="G75" s="351"/>
      <c r="H75" s="351"/>
      <c r="I75" s="69"/>
    </row>
    <row r="76" spans="5:9" ht="13.8">
      <c r="E76" s="351"/>
      <c r="F76" s="351"/>
      <c r="G76" s="351"/>
      <c r="H76" s="351"/>
      <c r="I76" s="69"/>
    </row>
    <row r="77" spans="5:9" ht="13.8">
      <c r="E77" s="351"/>
      <c r="F77" s="351"/>
      <c r="G77" s="351"/>
      <c r="H77" s="351"/>
      <c r="I77" s="69"/>
    </row>
    <row r="78" spans="5:9" ht="13.8">
      <c r="E78" s="351"/>
      <c r="F78" s="351"/>
      <c r="G78" s="351"/>
      <c r="H78" s="351"/>
      <c r="I78" s="69"/>
    </row>
    <row r="79" spans="5:9" ht="13.8">
      <c r="E79" s="351"/>
      <c r="F79" s="351"/>
      <c r="G79" s="351"/>
      <c r="H79" s="351"/>
      <c r="I79" s="69"/>
    </row>
    <row r="80" spans="5:9" ht="13.95" customHeight="1">
      <c r="E80" s="351"/>
      <c r="F80" s="351"/>
      <c r="G80" s="351"/>
      <c r="H80" s="351"/>
      <c r="I80" s="69"/>
    </row>
    <row r="81" spans="2:9" ht="19.95" hidden="1" customHeight="1">
      <c r="B81" s="382" t="s">
        <v>93</v>
      </c>
      <c r="C81" s="383"/>
      <c r="D81" s="383"/>
      <c r="E81" s="383"/>
      <c r="F81" s="383"/>
      <c r="G81" s="384"/>
      <c r="H81" s="113"/>
      <c r="I81" s="69"/>
    </row>
    <row r="82" spans="2:9" ht="22.2" hidden="1" customHeight="1">
      <c r="B82" s="110" t="s">
        <v>42</v>
      </c>
      <c r="C82" s="110" t="s">
        <v>13</v>
      </c>
      <c r="D82" s="110" t="s">
        <v>14</v>
      </c>
      <c r="E82" s="111" t="s">
        <v>22</v>
      </c>
      <c r="F82" s="111" t="s">
        <v>15</v>
      </c>
      <c r="G82" s="112" t="s">
        <v>16</v>
      </c>
      <c r="H82" s="113"/>
      <c r="I82" s="113"/>
    </row>
    <row r="83" spans="2:9" ht="22.2" hidden="1" customHeight="1">
      <c r="B83" s="122" t="s">
        <v>23</v>
      </c>
      <c r="C83" s="115" t="s">
        <v>91</v>
      </c>
      <c r="D83" s="331" t="s">
        <v>82</v>
      </c>
      <c r="E83" s="115">
        <v>0.75</v>
      </c>
      <c r="F83" s="298">
        <v>0</v>
      </c>
      <c r="G83" s="306">
        <f>SUMIF($C4:$C32,"คุณนิมิต จุ้ยอยู่ทอง",$H4:$H32)*E83</f>
        <v>0</v>
      </c>
      <c r="H83" s="352"/>
      <c r="I83" s="113"/>
    </row>
    <row r="84" spans="2:9" ht="22.2" hidden="1" customHeight="1">
      <c r="B84" s="124"/>
      <c r="C84" s="115" t="s">
        <v>91</v>
      </c>
      <c r="D84" s="331" t="s">
        <v>83</v>
      </c>
      <c r="E84" s="115">
        <v>0.75</v>
      </c>
      <c r="F84" s="298">
        <v>0</v>
      </c>
      <c r="G84" s="306">
        <f>SUMIF($C5:$C33,"คุณธวัช มีแสง",$H5:$H33)*E84</f>
        <v>1480.3704000000002</v>
      </c>
      <c r="H84" s="352"/>
      <c r="I84" s="113"/>
    </row>
    <row r="85" spans="2:9" ht="22.2" hidden="1" customHeight="1">
      <c r="B85" s="124"/>
      <c r="C85" s="115" t="s">
        <v>91</v>
      </c>
      <c r="D85" s="331" t="s">
        <v>84</v>
      </c>
      <c r="E85" s="115">
        <v>0.75</v>
      </c>
      <c r="F85" s="298">
        <v>0</v>
      </c>
      <c r="G85" s="306">
        <f>SUMIF($C5:$C32,"คุณแดง มูลสองแคว",$H5:$H32)*E85</f>
        <v>0</v>
      </c>
      <c r="H85" s="352"/>
      <c r="I85" s="113"/>
    </row>
    <row r="86" spans="2:9" ht="22.2" hidden="1" customHeight="1">
      <c r="B86" s="124"/>
      <c r="C86" s="115" t="s">
        <v>17</v>
      </c>
      <c r="D86" s="336" t="s">
        <v>85</v>
      </c>
      <c r="E86" s="115">
        <v>0.75</v>
      </c>
      <c r="F86" s="298">
        <v>0</v>
      </c>
      <c r="G86" s="306">
        <f>SUMIF($C5:$C32,"คุณนิยนต์ อยู่ทะเล",$H5:$H32)*E86</f>
        <v>0</v>
      </c>
      <c r="H86" s="352"/>
      <c r="I86" s="113"/>
    </row>
    <row r="87" spans="2:9" ht="22.2" hidden="1" customHeight="1">
      <c r="B87" s="124"/>
      <c r="C87" s="178" t="s">
        <v>91</v>
      </c>
      <c r="D87" s="337" t="s">
        <v>78</v>
      </c>
      <c r="E87" s="115">
        <v>0.75</v>
      </c>
      <c r="F87" s="298">
        <v>0</v>
      </c>
      <c r="G87" s="306">
        <f>SUMIF($C5:$C32,"คุณรุ่งอรุณ อินบุญรอด",$H5:$H32)*E87</f>
        <v>1967.13</v>
      </c>
      <c r="H87" s="352"/>
      <c r="I87" s="113"/>
    </row>
    <row r="88" spans="2:9" ht="22.2" hidden="1" customHeight="1">
      <c r="B88" s="124"/>
      <c r="C88" s="115" t="s">
        <v>91</v>
      </c>
      <c r="D88" s="337" t="s">
        <v>79</v>
      </c>
      <c r="E88" s="115">
        <v>0.75</v>
      </c>
      <c r="F88" s="298">
        <v>0</v>
      </c>
      <c r="G88" s="306">
        <f>SUMIF($C5:$C34,"คุณศศินาถ จุ้ยอยู่ทอง",$H5:$H37)*E88</f>
        <v>2016</v>
      </c>
      <c r="H88" s="352"/>
      <c r="I88" s="113"/>
    </row>
    <row r="89" spans="2:9" ht="22.2" hidden="1" customHeight="1">
      <c r="B89" s="124"/>
      <c r="C89" s="356" t="s">
        <v>91</v>
      </c>
      <c r="D89" s="357" t="s">
        <v>103</v>
      </c>
      <c r="E89" s="115">
        <v>0.75</v>
      </c>
      <c r="F89" s="298">
        <v>0</v>
      </c>
      <c r="G89" s="306">
        <f>SUMIF($C5:$C32,"คุณณรงศ์ศักย์ เหล่ารัตนเวช",$H5:$H32)*E89</f>
        <v>0</v>
      </c>
      <c r="H89" s="352"/>
      <c r="I89" s="113"/>
    </row>
    <row r="90" spans="2:9" ht="22.2" hidden="1" customHeight="1">
      <c r="B90" s="124"/>
      <c r="C90" s="356" t="s">
        <v>17</v>
      </c>
      <c r="D90" s="365" t="s">
        <v>168</v>
      </c>
      <c r="E90" s="115">
        <v>0.75</v>
      </c>
      <c r="F90" s="298">
        <v>0</v>
      </c>
      <c r="G90" s="306">
        <f>SUMIF($C6:$C33,"คุณชนัฐฎา สนคะมี",$H6:$H33)*E90</f>
        <v>2880</v>
      </c>
      <c r="H90" s="352"/>
      <c r="I90" s="113"/>
    </row>
    <row r="91" spans="2:9" ht="22.2" hidden="1" customHeight="1">
      <c r="B91" s="123"/>
      <c r="C91" s="115" t="s">
        <v>91</v>
      </c>
      <c r="D91" s="331" t="s">
        <v>81</v>
      </c>
      <c r="E91" s="115">
        <v>0.75</v>
      </c>
      <c r="F91" s="298">
        <v>0</v>
      </c>
      <c r="G91" s="306">
        <f>SUMIF($C5:$C32,"คุณธัญลักษณ์ หมื่นหลุบกุง",$H5:$H32)*E91</f>
        <v>0</v>
      </c>
      <c r="H91" s="352"/>
      <c r="I91" s="113"/>
    </row>
    <row r="92" spans="2:9" ht="22.2" hidden="1" customHeight="1">
      <c r="B92" s="117" t="s">
        <v>71</v>
      </c>
      <c r="C92" s="115" t="s">
        <v>91</v>
      </c>
      <c r="D92" s="331" t="s">
        <v>83</v>
      </c>
      <c r="E92" s="115">
        <v>0.05</v>
      </c>
      <c r="F92" s="298">
        <v>0</v>
      </c>
      <c r="G92" s="306">
        <f>$H$32*E92</f>
        <v>556.23336000000006</v>
      </c>
      <c r="H92" s="113"/>
      <c r="I92" s="113"/>
    </row>
    <row r="93" spans="2:9" ht="22.2" hidden="1" customHeight="1">
      <c r="B93" s="117" t="s">
        <v>24</v>
      </c>
      <c r="C93" s="115" t="s">
        <v>72</v>
      </c>
      <c r="D93" s="331" t="s">
        <v>111</v>
      </c>
      <c r="E93" s="115">
        <v>0.12</v>
      </c>
      <c r="F93" s="298">
        <v>0</v>
      </c>
      <c r="G93" s="306">
        <f>$H$32*E93</f>
        <v>1334.9600639999999</v>
      </c>
      <c r="H93" s="113"/>
      <c r="I93" s="113"/>
    </row>
    <row r="94" spans="2:9" ht="22.2" hidden="1" customHeight="1">
      <c r="B94" s="117" t="s">
        <v>25</v>
      </c>
      <c r="C94" s="115" t="s">
        <v>72</v>
      </c>
      <c r="D94" s="331" t="s">
        <v>92</v>
      </c>
      <c r="E94" s="115">
        <v>0.08</v>
      </c>
      <c r="F94" s="298">
        <v>0</v>
      </c>
      <c r="G94" s="353">
        <f>$H$32*E94</f>
        <v>889.97337600000003</v>
      </c>
      <c r="H94" s="113"/>
      <c r="I94" s="113"/>
    </row>
    <row r="95" spans="2:9" ht="18.600000000000001" hidden="1" customHeight="1">
      <c r="B95" s="72"/>
      <c r="C95" s="72"/>
      <c r="D95" s="73"/>
      <c r="E95" s="347"/>
      <c r="F95" s="348"/>
      <c r="G95" s="354">
        <f>SUM(G83:G94)</f>
        <v>11124.667200000002</v>
      </c>
      <c r="H95" s="113"/>
      <c r="I95" s="69"/>
    </row>
    <row r="96" spans="2:9" ht="13.8" hidden="1">
      <c r="E96" s="351"/>
      <c r="F96" s="351"/>
      <c r="G96" s="351"/>
      <c r="H96" s="113"/>
      <c r="I96" s="351"/>
    </row>
    <row r="97" spans="5:9" ht="13.8">
      <c r="E97" s="351"/>
      <c r="F97" s="351"/>
      <c r="G97" s="351"/>
      <c r="H97" s="113"/>
      <c r="I97" s="351"/>
    </row>
    <row r="98" spans="5:9" ht="13.8">
      <c r="E98" s="351"/>
      <c r="F98" s="351"/>
      <c r="G98" s="351"/>
      <c r="H98" s="113"/>
      <c r="I98" s="351"/>
    </row>
    <row r="99" spans="5:9" ht="13.8">
      <c r="E99" s="351"/>
      <c r="F99" s="351"/>
      <c r="G99" s="351"/>
      <c r="H99" s="113"/>
      <c r="I99" s="351"/>
    </row>
    <row r="100" spans="5:9" ht="13.8">
      <c r="E100" s="351"/>
      <c r="F100" s="351"/>
      <c r="G100" s="351"/>
      <c r="H100" s="351"/>
      <c r="I100" s="351"/>
    </row>
    <row r="101" spans="5:9" ht="13.8">
      <c r="E101" s="351"/>
      <c r="F101" s="351"/>
      <c r="G101" s="351"/>
      <c r="H101" s="351"/>
      <c r="I101" s="351"/>
    </row>
    <row r="102" spans="5:9" ht="13.8">
      <c r="E102" s="351"/>
      <c r="F102" s="351"/>
      <c r="G102" s="351"/>
      <c r="H102" s="351"/>
      <c r="I102" s="351"/>
    </row>
    <row r="103" spans="5:9" ht="13.8">
      <c r="E103" s="351"/>
      <c r="F103" s="351"/>
      <c r="G103" s="351"/>
      <c r="H103" s="351"/>
      <c r="I103" s="351"/>
    </row>
    <row r="104" spans="5:9" ht="13.8">
      <c r="E104" s="351"/>
      <c r="F104" s="351"/>
      <c r="G104" s="351"/>
      <c r="H104" s="351"/>
      <c r="I104" s="351"/>
    </row>
    <row r="105" spans="5:9" ht="13.8">
      <c r="E105" s="351"/>
      <c r="F105" s="351"/>
      <c r="G105" s="351"/>
      <c r="H105" s="351"/>
      <c r="I105" s="351"/>
    </row>
    <row r="106" spans="5:9" ht="13.8">
      <c r="E106" s="351"/>
      <c r="F106" s="351"/>
      <c r="G106" s="351"/>
      <c r="H106" s="351"/>
      <c r="I106" s="351"/>
    </row>
    <row r="107" spans="5:9" ht="13.8">
      <c r="E107" s="351"/>
      <c r="F107" s="351"/>
      <c r="G107" s="351"/>
      <c r="H107" s="351"/>
      <c r="I107" s="351"/>
    </row>
    <row r="108" spans="5:9" ht="13.8">
      <c r="E108" s="351"/>
      <c r="F108" s="351"/>
      <c r="G108" s="351"/>
      <c r="H108" s="351"/>
      <c r="I108" s="351"/>
    </row>
    <row r="109" spans="5:9" ht="13.95" customHeight="1">
      <c r="E109" s="351"/>
      <c r="F109" s="351"/>
      <c r="G109" s="351"/>
      <c r="H109" s="351"/>
      <c r="I109" s="351"/>
    </row>
    <row r="110" spans="5:9" ht="13.95" customHeight="1">
      <c r="E110" s="351"/>
      <c r="F110" s="351"/>
      <c r="G110" s="351"/>
      <c r="H110" s="351"/>
      <c r="I110" s="351"/>
    </row>
    <row r="111" spans="5:9" ht="13.95" customHeight="1">
      <c r="E111" s="351"/>
      <c r="F111" s="351"/>
      <c r="G111" s="351"/>
      <c r="H111" s="351"/>
      <c r="I111" s="351"/>
    </row>
    <row r="112" spans="5:9" ht="13.8">
      <c r="E112" s="351"/>
      <c r="F112" s="351"/>
      <c r="G112" s="351"/>
      <c r="H112" s="351"/>
      <c r="I112" s="351"/>
    </row>
    <row r="113" spans="5:9" ht="13.8">
      <c r="E113" s="351"/>
      <c r="F113" s="351"/>
      <c r="G113" s="351"/>
      <c r="H113" s="351"/>
      <c r="I113" s="351"/>
    </row>
    <row r="114" spans="5:9" ht="13.8">
      <c r="E114" s="351"/>
      <c r="F114" s="351"/>
      <c r="G114" s="351"/>
      <c r="H114" s="351"/>
      <c r="I114" s="351"/>
    </row>
    <row r="115" spans="5:9" ht="13.8">
      <c r="E115" s="351"/>
      <c r="F115" s="351"/>
      <c r="G115" s="351"/>
      <c r="H115" s="351"/>
      <c r="I115" s="351"/>
    </row>
    <row r="116" spans="5:9" ht="13.8">
      <c r="E116" s="351"/>
      <c r="F116" s="351"/>
      <c r="G116" s="351"/>
      <c r="H116" s="351"/>
      <c r="I116" s="351"/>
    </row>
    <row r="117" spans="5:9" ht="13.8">
      <c r="E117" s="351"/>
      <c r="F117" s="351"/>
      <c r="G117" s="351"/>
      <c r="H117" s="351"/>
      <c r="I117" s="351"/>
    </row>
    <row r="118" spans="5:9" ht="13.8">
      <c r="E118" s="351"/>
      <c r="F118" s="351"/>
      <c r="G118" s="351"/>
      <c r="H118" s="351"/>
      <c r="I118" s="351"/>
    </row>
    <row r="119" spans="5:9" ht="13.8">
      <c r="E119" s="351"/>
      <c r="F119" s="351"/>
      <c r="G119" s="351"/>
      <c r="H119" s="351"/>
      <c r="I119" s="351"/>
    </row>
    <row r="120" spans="5:9" ht="13.8">
      <c r="E120" s="351"/>
      <c r="F120" s="351"/>
      <c r="G120" s="351"/>
      <c r="H120" s="351"/>
      <c r="I120" s="351"/>
    </row>
    <row r="121" spans="5:9" ht="13.8">
      <c r="E121" s="351"/>
      <c r="F121" s="351"/>
      <c r="G121" s="351"/>
      <c r="H121" s="351"/>
      <c r="I121" s="351"/>
    </row>
    <row r="122" spans="5:9" ht="13.8">
      <c r="E122" s="351"/>
      <c r="F122" s="351"/>
      <c r="G122" s="351"/>
      <c r="H122" s="351"/>
      <c r="I122" s="351"/>
    </row>
    <row r="123" spans="5:9" ht="13.8">
      <c r="E123" s="351"/>
      <c r="F123" s="351"/>
      <c r="G123" s="351"/>
      <c r="H123" s="351"/>
      <c r="I123" s="351"/>
    </row>
    <row r="124" spans="5:9" ht="13.8">
      <c r="E124" s="351"/>
      <c r="F124" s="351"/>
      <c r="G124" s="351"/>
      <c r="H124" s="351"/>
      <c r="I124" s="351"/>
    </row>
    <row r="125" spans="5:9" ht="13.8">
      <c r="E125" s="351"/>
      <c r="F125" s="351"/>
      <c r="G125" s="351"/>
      <c r="H125" s="351"/>
      <c r="I125" s="351"/>
    </row>
    <row r="126" spans="5:9" ht="13.8">
      <c r="E126" s="351"/>
      <c r="F126" s="351"/>
      <c r="G126" s="351"/>
      <c r="H126" s="351"/>
      <c r="I126" s="351"/>
    </row>
    <row r="127" spans="5:9" ht="13.8">
      <c r="E127" s="351"/>
      <c r="F127" s="351"/>
      <c r="G127" s="351"/>
      <c r="H127" s="351"/>
      <c r="I127" s="351"/>
    </row>
    <row r="128" spans="5:9" ht="13.8">
      <c r="E128" s="351"/>
      <c r="F128" s="351"/>
      <c r="G128" s="351"/>
      <c r="H128" s="351"/>
      <c r="I128" s="351"/>
    </row>
    <row r="129" spans="5:9" ht="13.8">
      <c r="E129" s="351"/>
      <c r="F129" s="351"/>
      <c r="G129" s="351"/>
      <c r="H129" s="351"/>
      <c r="I129" s="351"/>
    </row>
    <row r="130" spans="5:9" ht="13.8">
      <c r="E130" s="351"/>
      <c r="F130" s="351"/>
      <c r="G130" s="351"/>
      <c r="H130" s="351"/>
      <c r="I130" s="351"/>
    </row>
    <row r="131" spans="5:9" ht="13.8">
      <c r="E131" s="351"/>
      <c r="F131" s="351"/>
      <c r="G131" s="351"/>
      <c r="H131" s="351"/>
      <c r="I131" s="351"/>
    </row>
    <row r="132" spans="5:9" ht="13.8">
      <c r="E132" s="351"/>
      <c r="F132" s="351"/>
      <c r="G132" s="351"/>
      <c r="H132" s="351"/>
      <c r="I132" s="351"/>
    </row>
    <row r="133" spans="5:9" ht="13.8">
      <c r="E133" s="351"/>
      <c r="F133" s="351"/>
      <c r="G133" s="351"/>
      <c r="H133" s="351"/>
      <c r="I133" s="351"/>
    </row>
    <row r="134" spans="5:9" ht="13.8">
      <c r="E134" s="351"/>
      <c r="F134" s="351"/>
      <c r="G134" s="351"/>
      <c r="H134" s="351"/>
      <c r="I134" s="351"/>
    </row>
    <row r="135" spans="5:9" ht="13.8">
      <c r="E135" s="351"/>
      <c r="F135" s="351"/>
      <c r="G135" s="351"/>
      <c r="H135" s="351"/>
      <c r="I135" s="351"/>
    </row>
    <row r="136" spans="5:9" ht="13.8">
      <c r="E136" s="351"/>
      <c r="F136" s="351"/>
      <c r="G136" s="351"/>
      <c r="H136" s="351"/>
      <c r="I136" s="351"/>
    </row>
    <row r="137" spans="5:9" ht="13.8">
      <c r="E137" s="351"/>
      <c r="F137" s="351"/>
      <c r="G137" s="351"/>
      <c r="H137" s="351"/>
      <c r="I137" s="351"/>
    </row>
    <row r="138" spans="5:9" ht="13.8">
      <c r="E138" s="351"/>
      <c r="F138" s="351"/>
      <c r="G138" s="351"/>
      <c r="H138" s="351"/>
      <c r="I138" s="351"/>
    </row>
    <row r="139" spans="5:9" ht="13.8">
      <c r="E139" s="351"/>
      <c r="F139" s="351"/>
      <c r="G139" s="351"/>
      <c r="H139" s="351"/>
      <c r="I139" s="351"/>
    </row>
    <row r="140" spans="5:9" ht="13.8">
      <c r="E140" s="351"/>
      <c r="F140" s="351"/>
      <c r="G140" s="351"/>
      <c r="H140" s="351"/>
      <c r="I140" s="351"/>
    </row>
    <row r="141" spans="5:9" ht="13.8">
      <c r="E141" s="351"/>
      <c r="F141" s="351"/>
      <c r="G141" s="351"/>
      <c r="H141" s="351"/>
      <c r="I141" s="351"/>
    </row>
    <row r="142" spans="5:9" ht="13.8">
      <c r="E142" s="351"/>
      <c r="F142" s="351"/>
      <c r="G142" s="351"/>
      <c r="H142" s="351"/>
      <c r="I142" s="351"/>
    </row>
    <row r="143" spans="5:9" ht="13.8">
      <c r="E143" s="351"/>
      <c r="F143" s="351"/>
      <c r="G143" s="351"/>
      <c r="H143" s="351"/>
      <c r="I143" s="351"/>
    </row>
    <row r="144" spans="5:9" ht="13.8">
      <c r="E144" s="351"/>
      <c r="F144" s="351"/>
      <c r="G144" s="351"/>
      <c r="H144" s="351"/>
      <c r="I144" s="351"/>
    </row>
    <row r="145" spans="5:9" ht="13.8">
      <c r="E145" s="351"/>
      <c r="F145" s="351"/>
      <c r="G145" s="351"/>
      <c r="H145" s="351"/>
      <c r="I145" s="351"/>
    </row>
    <row r="146" spans="5:9" ht="13.8">
      <c r="E146" s="351"/>
      <c r="F146" s="351"/>
      <c r="G146" s="351"/>
      <c r="H146" s="351"/>
      <c r="I146" s="351"/>
    </row>
    <row r="147" spans="5:9" ht="13.8">
      <c r="E147" s="351"/>
      <c r="F147" s="351"/>
      <c r="G147" s="351"/>
      <c r="H147" s="351"/>
      <c r="I147" s="351"/>
    </row>
    <row r="148" spans="5:9" ht="13.8">
      <c r="E148" s="351"/>
      <c r="F148" s="351"/>
      <c r="G148" s="351"/>
      <c r="H148" s="351"/>
      <c r="I148" s="351"/>
    </row>
    <row r="149" spans="5:9" ht="13.8">
      <c r="E149" s="351"/>
      <c r="F149" s="351"/>
      <c r="G149" s="351"/>
      <c r="H149" s="351"/>
      <c r="I149" s="351"/>
    </row>
    <row r="150" spans="5:9" ht="13.8">
      <c r="E150" s="351"/>
      <c r="F150" s="351"/>
      <c r="G150" s="351"/>
      <c r="H150" s="351"/>
      <c r="I150" s="351"/>
    </row>
    <row r="151" spans="5:9" ht="13.8">
      <c r="E151" s="351"/>
      <c r="F151" s="351"/>
      <c r="G151" s="351"/>
      <c r="H151" s="351"/>
      <c r="I151" s="351"/>
    </row>
    <row r="152" spans="5:9" ht="13.8"/>
    <row r="153" spans="5:9" ht="13.8"/>
    <row r="154" spans="5:9" ht="13.8"/>
    <row r="155" spans="5:9" ht="13.8"/>
    <row r="156" spans="5:9" ht="13.8"/>
    <row r="157" spans="5:9" ht="13.8"/>
    <row r="158" spans="5:9" ht="13.8"/>
    <row r="159" spans="5:9" ht="13.8"/>
    <row r="160" spans="5:9" ht="13.8"/>
    <row r="161" ht="13.8"/>
    <row r="162" ht="13.8"/>
    <row r="163" ht="13.8"/>
    <row r="164" ht="13.8"/>
    <row r="165" ht="13.8"/>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sheetData>
  <mergeCells count="2">
    <mergeCell ref="B35:K36"/>
    <mergeCell ref="D23:D31"/>
  </mergeCells>
  <printOptions horizontalCentered="1"/>
  <pageMargins left="0.27559055118110237" right="0.19685039370078741" top="0.43307086614173229" bottom="0.35433070866141736" header="0.23622047244094491" footer="0"/>
  <pageSetup paperSize="9"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IR166"/>
  <sheetViews>
    <sheetView zoomScale="85" zoomScaleNormal="85" workbookViewId="0">
      <pane xSplit="7" ySplit="5" topLeftCell="H6" activePane="bottomRight" state="frozen"/>
      <selection pane="topRight" activeCell="F1" sqref="F1"/>
      <selection pane="bottomLeft" activeCell="A6" sqref="A6"/>
      <selection pane="bottomRight" activeCell="I14" sqref="I14"/>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4" bestFit="1" customWidth="1"/>
    <col min="5" max="5" width="35.5546875" style="34" bestFit="1" customWidth="1"/>
    <col min="6" max="6" width="16.77734375" style="35" customWidth="1"/>
    <col min="7" max="7" width="16.77734375" style="14" customWidth="1"/>
    <col min="8" max="8" width="18.109375" style="14" customWidth="1"/>
    <col min="9" max="9" width="18.21875" style="4" customWidth="1"/>
    <col min="10" max="11" width="19.109375" style="35" customWidth="1"/>
    <col min="12" max="16" width="17.33203125" style="12" customWidth="1"/>
    <col min="17" max="18" width="17.77734375" style="4" customWidth="1"/>
    <col min="19" max="19" width="17.77734375" style="12" customWidth="1"/>
    <col min="20" max="20" width="21" style="139" bestFit="1" customWidth="1"/>
    <col min="21" max="21" width="17.77734375" style="12" customWidth="1"/>
    <col min="23" max="23" width="17" style="12"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52" ht="24.75" customHeight="1">
      <c r="A1" s="137" t="s">
        <v>73</v>
      </c>
      <c r="B1" s="1"/>
      <c r="C1" s="1"/>
      <c r="D1" s="1"/>
      <c r="E1" s="1"/>
      <c r="F1" s="45"/>
      <c r="G1" s="53"/>
      <c r="H1" s="53"/>
      <c r="I1" s="45"/>
      <c r="J1" s="45"/>
      <c r="K1" s="45"/>
      <c r="L1" s="1"/>
      <c r="M1" s="1"/>
      <c r="N1" s="1"/>
      <c r="O1" s="1"/>
      <c r="P1" s="1"/>
      <c r="Q1" s="45"/>
      <c r="R1" s="45"/>
      <c r="S1" s="1"/>
      <c r="T1" s="2"/>
      <c r="U1" s="1"/>
      <c r="V1" s="2"/>
      <c r="W1" s="3"/>
    </row>
    <row r="2" spans="1:252" ht="24.75" customHeight="1">
      <c r="A2" s="138" t="s">
        <v>128</v>
      </c>
      <c r="B2" s="6"/>
      <c r="C2" s="6"/>
      <c r="D2" s="6"/>
      <c r="E2" s="6"/>
      <c r="F2" s="46"/>
      <c r="G2" s="54"/>
      <c r="H2" s="54"/>
      <c r="I2" s="46"/>
      <c r="J2" s="46"/>
      <c r="K2" s="46"/>
      <c r="L2" s="6"/>
      <c r="M2" s="6"/>
      <c r="N2" s="6"/>
      <c r="O2" s="6"/>
      <c r="P2" s="6"/>
      <c r="Q2" s="46"/>
      <c r="R2" s="46"/>
      <c r="S2" s="6"/>
      <c r="T2" s="7"/>
      <c r="U2" s="6"/>
      <c r="V2" s="7"/>
      <c r="W2" s="3"/>
    </row>
    <row r="3" spans="1:252" ht="26.25" customHeight="1">
      <c r="A3" s="8" t="s">
        <v>105</v>
      </c>
      <c r="B3" s="8"/>
      <c r="C3" s="9"/>
      <c r="D3" s="9"/>
      <c r="E3" s="9"/>
      <c r="F3" s="11"/>
      <c r="G3" s="26"/>
      <c r="H3" s="26"/>
      <c r="I3" s="11"/>
      <c r="J3" s="11"/>
      <c r="K3" s="11"/>
      <c r="L3" s="10"/>
      <c r="M3" s="10"/>
      <c r="N3" s="10"/>
      <c r="O3" s="10"/>
      <c r="P3" s="10"/>
      <c r="Q3" s="11"/>
      <c r="R3" s="11"/>
      <c r="S3" s="14"/>
      <c r="U3" s="14"/>
      <c r="V3" s="13"/>
      <c r="W3" s="3"/>
    </row>
    <row r="4" spans="1:252" ht="22.2" customHeight="1" thickBot="1">
      <c r="A4" s="15"/>
      <c r="B4" s="15"/>
      <c r="C4" s="9"/>
      <c r="D4" s="9"/>
      <c r="E4" s="9"/>
      <c r="F4" s="11"/>
      <c r="G4" s="26"/>
      <c r="H4" s="26"/>
      <c r="I4" s="11"/>
      <c r="J4" s="11"/>
      <c r="K4" s="11"/>
      <c r="L4" s="121">
        <v>0.05</v>
      </c>
      <c r="M4" s="121">
        <v>0.25</v>
      </c>
      <c r="N4" s="199"/>
      <c r="O4" s="199"/>
      <c r="P4" s="199"/>
      <c r="Q4" s="207">
        <v>0.25</v>
      </c>
      <c r="R4" s="11"/>
      <c r="S4" s="14"/>
      <c r="U4" s="14"/>
      <c r="V4" s="13"/>
      <c r="W4" s="3"/>
    </row>
    <row r="5" spans="1:252" s="17" customFormat="1" ht="70.2" thickBot="1">
      <c r="A5" s="428" t="s">
        <v>0</v>
      </c>
      <c r="B5" s="429" t="s">
        <v>40</v>
      </c>
      <c r="C5" s="235" t="s">
        <v>1</v>
      </c>
      <c r="D5" s="235" t="s">
        <v>6</v>
      </c>
      <c r="E5" s="473" t="s">
        <v>45</v>
      </c>
      <c r="F5" s="430" t="s">
        <v>31</v>
      </c>
      <c r="G5" s="431" t="s">
        <v>37</v>
      </c>
      <c r="H5" s="398" t="s">
        <v>109</v>
      </c>
      <c r="I5" s="432" t="s">
        <v>38</v>
      </c>
      <c r="J5" s="239" t="s">
        <v>41</v>
      </c>
      <c r="K5" s="239" t="s">
        <v>116</v>
      </c>
      <c r="L5" s="240" t="s">
        <v>117</v>
      </c>
      <c r="M5" s="240" t="s">
        <v>118</v>
      </c>
      <c r="N5" s="239" t="s">
        <v>119</v>
      </c>
      <c r="O5" s="391" t="s">
        <v>113</v>
      </c>
      <c r="P5" s="391" t="s">
        <v>114</v>
      </c>
      <c r="Q5" s="391" t="s">
        <v>115</v>
      </c>
      <c r="R5" s="241" t="s">
        <v>120</v>
      </c>
      <c r="S5" s="141" t="s">
        <v>39</v>
      </c>
      <c r="T5" s="474" t="s">
        <v>43</v>
      </c>
      <c r="U5" s="475" t="s">
        <v>7</v>
      </c>
      <c r="V5" s="16"/>
    </row>
    <row r="6" spans="1:252" s="158" customFormat="1" ht="23.4" customHeight="1">
      <c r="A6" s="442">
        <v>1</v>
      </c>
      <c r="B6" s="443" t="s">
        <v>122</v>
      </c>
      <c r="C6" s="444" t="s">
        <v>123</v>
      </c>
      <c r="D6" s="445" t="s">
        <v>82</v>
      </c>
      <c r="E6" s="445" t="s">
        <v>59</v>
      </c>
      <c r="F6" s="446">
        <v>4542.0600000000004</v>
      </c>
      <c r="G6" s="447">
        <v>243892</v>
      </c>
      <c r="H6" s="448"/>
      <c r="I6" s="449">
        <f>Table13514520105[[#This Row],[ค่าบริการรายเดือนตาม Package]]+Table13514520105[[#This Row],[รายการเบิก
คอมขายเพิ่มเติม
(เป้าตามกำหนด)
100-200%]]</f>
        <v>4542.0600000000004</v>
      </c>
      <c r="J6" s="448"/>
      <c r="K6" s="448"/>
      <c r="L6" s="450">
        <f>IF(Table13514520105[[#This Row],[ค่าขายอุปกรณ์]]&gt;Table13514520105[[#This Row],[ต้นทุนค่าขายอุปกรณ์]],Table13514520105[[#This Row],[ต้นทุนค่าขายอุปกรณ์]]*$L$4,Table13514520105[[#This Row],[ค่าขายอุปกรณ์]]*$L$4)</f>
        <v>0</v>
      </c>
      <c r="M6" s="450">
        <f>IF(Table13514520105[[#This Row],[ค่าขายอุปกรณ์]]&gt;Table13514520105[[#This Row],[ต้นทุนค่าขายอุปกรณ์]],SUM(Table13514520105[[#This Row],[ค่าขายอุปกรณ์]]-Table13514520105[[#This Row],[ต้นทุนค่าขายอุปกรณ์]])*$M$4,0)</f>
        <v>0</v>
      </c>
      <c r="N6" s="451">
        <f>Table13514520105[[#This Row],[คอมฯอุปกรณ์
 5%]]+Table13514520105[[#This Row],[คอมฯ อุปกรณ์
25%]]</f>
        <v>0</v>
      </c>
      <c r="O6" s="452"/>
      <c r="P6" s="452"/>
      <c r="Q6" s="453">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454">
        <f>Table13514520105[[#This Row],[รายการเบิก
คอมขาย]]+Table13514520105[[#This Row],[Total
คอมฯ อุปกรณ์]]+Table13514520105[[#This Row],[Total 
คอมฯค่าติดตั้ง/ค่าเชื่อมสัญญาณ]]</f>
        <v>4542.0600000000004</v>
      </c>
      <c r="S6" s="455" t="s">
        <v>125</v>
      </c>
      <c r="T6" s="456" t="s">
        <v>127</v>
      </c>
      <c r="U6" s="457" t="s">
        <v>126</v>
      </c>
      <c r="V6" s="3"/>
      <c r="W6" s="507" t="s">
        <v>131</v>
      </c>
      <c r="X6" s="507"/>
      <c r="Y6" s="507"/>
      <c r="Z6" s="507"/>
      <c r="AA6" s="507"/>
      <c r="AB6" s="507"/>
      <c r="AC6" s="507"/>
      <c r="AD6" s="507"/>
      <c r="AE6" s="507"/>
      <c r="AF6" s="507"/>
      <c r="AG6" s="507"/>
      <c r="AH6" s="507"/>
      <c r="AI6" s="507"/>
      <c r="AJ6" s="507"/>
      <c r="AK6" s="507"/>
      <c r="AL6" s="507"/>
      <c r="AM6" s="507"/>
      <c r="AN6" s="507"/>
      <c r="AO6" s="507"/>
      <c r="AP6" s="507"/>
      <c r="AQ6" s="507"/>
      <c r="AR6" s="507"/>
      <c r="AS6" s="507"/>
      <c r="AT6" s="507"/>
      <c r="AU6" s="507"/>
      <c r="AV6" s="507"/>
      <c r="AW6" s="507"/>
      <c r="AX6" s="507"/>
      <c r="AY6" s="507"/>
      <c r="AZ6" s="507"/>
      <c r="BA6" s="507"/>
      <c r="BB6" s="507"/>
      <c r="BC6" s="507"/>
      <c r="BD6" s="507"/>
      <c r="BE6" s="507"/>
      <c r="BF6" s="507"/>
      <c r="BG6" s="507"/>
      <c r="BH6" s="507"/>
      <c r="BI6" s="507"/>
      <c r="BJ6" s="507"/>
      <c r="BK6" s="507"/>
      <c r="BL6" s="507"/>
      <c r="BM6" s="507"/>
      <c r="BN6" s="507"/>
      <c r="BO6" s="507"/>
      <c r="BP6" s="507"/>
      <c r="BQ6" s="507"/>
      <c r="BR6" s="507"/>
      <c r="BS6" s="507"/>
      <c r="BT6" s="507"/>
      <c r="BU6" s="507"/>
      <c r="BV6" s="507"/>
      <c r="BW6" s="507"/>
      <c r="BX6" s="507"/>
      <c r="BY6" s="507"/>
      <c r="BZ6" s="507"/>
      <c r="CA6" s="507"/>
      <c r="CB6" s="507"/>
      <c r="CC6" s="507"/>
      <c r="CD6" s="507"/>
      <c r="CE6" s="507"/>
      <c r="CF6" s="507"/>
      <c r="CG6" s="507"/>
      <c r="CH6" s="507"/>
      <c r="CI6" s="507"/>
      <c r="CJ6" s="507"/>
      <c r="CK6" s="507"/>
      <c r="CL6" s="507"/>
      <c r="CM6" s="507"/>
      <c r="CN6" s="507"/>
      <c r="CO6" s="507"/>
      <c r="CP6" s="507"/>
      <c r="CQ6" s="507"/>
      <c r="CR6" s="507"/>
      <c r="CS6" s="507"/>
      <c r="CT6" s="507"/>
      <c r="CU6" s="507"/>
      <c r="CV6" s="507"/>
      <c r="CW6" s="507"/>
      <c r="CX6" s="507"/>
      <c r="CY6" s="507"/>
      <c r="CZ6" s="507"/>
      <c r="DA6" s="507"/>
      <c r="DB6" s="507"/>
      <c r="DC6" s="507"/>
      <c r="DD6" s="507"/>
      <c r="DE6" s="507"/>
      <c r="DF6" s="507"/>
      <c r="DG6" s="507"/>
      <c r="DH6" s="507"/>
      <c r="DI6" s="507"/>
      <c r="DJ6" s="507"/>
      <c r="DK6" s="507"/>
      <c r="DL6" s="507"/>
      <c r="DM6" s="507"/>
      <c r="DN6" s="507"/>
      <c r="DO6" s="507"/>
      <c r="DP6" s="507"/>
      <c r="DQ6" s="507"/>
      <c r="DR6" s="507"/>
      <c r="DS6" s="507"/>
      <c r="DT6" s="507"/>
      <c r="DU6" s="507"/>
      <c r="DV6" s="507"/>
      <c r="DW6" s="507"/>
      <c r="DX6" s="507"/>
      <c r="DY6" s="507"/>
      <c r="DZ6" s="507"/>
      <c r="EA6" s="507"/>
      <c r="EB6" s="507"/>
      <c r="EC6" s="507"/>
      <c r="ED6" s="507"/>
      <c r="EE6" s="507"/>
      <c r="EF6" s="507"/>
      <c r="EG6" s="507"/>
      <c r="EH6" s="507"/>
      <c r="EI6" s="507"/>
      <c r="EJ6" s="507"/>
      <c r="EK6" s="507"/>
      <c r="EL6" s="507"/>
      <c r="EM6" s="507"/>
      <c r="EN6" s="507"/>
      <c r="EO6" s="507"/>
      <c r="EP6" s="507"/>
      <c r="EQ6" s="507"/>
      <c r="ER6" s="507"/>
      <c r="ES6" s="507"/>
      <c r="ET6" s="507"/>
      <c r="EU6" s="507"/>
      <c r="EV6" s="507"/>
      <c r="EW6" s="507"/>
      <c r="EX6" s="507"/>
      <c r="EY6" s="507"/>
      <c r="EZ6" s="507"/>
      <c r="FA6" s="507"/>
      <c r="FB6" s="507"/>
      <c r="FC6" s="507"/>
      <c r="FD6" s="507"/>
      <c r="FE6" s="507"/>
      <c r="FF6" s="507"/>
      <c r="FG6" s="507"/>
      <c r="FH6" s="507"/>
      <c r="FI6" s="507"/>
      <c r="FJ6" s="507"/>
      <c r="FK6" s="507"/>
      <c r="FL6" s="507"/>
      <c r="FM6" s="507"/>
      <c r="FN6" s="507"/>
      <c r="FO6" s="507"/>
      <c r="FP6" s="507"/>
      <c r="FQ6" s="507"/>
      <c r="FR6" s="507"/>
      <c r="FS6" s="507"/>
      <c r="FT6" s="507"/>
      <c r="FU6" s="507"/>
      <c r="FV6" s="507"/>
      <c r="FW6" s="507"/>
      <c r="FX6" s="507"/>
      <c r="FY6" s="507"/>
      <c r="FZ6" s="507"/>
      <c r="GA6" s="507"/>
      <c r="GB6" s="507"/>
      <c r="GC6" s="507"/>
      <c r="GD6" s="507"/>
      <c r="GE6" s="507"/>
      <c r="GF6" s="507"/>
      <c r="GG6" s="507"/>
      <c r="GH6" s="507"/>
      <c r="GI6" s="507"/>
      <c r="GJ6" s="507"/>
      <c r="GK6" s="507"/>
      <c r="GL6" s="507"/>
      <c r="GM6" s="507"/>
      <c r="GN6" s="507"/>
      <c r="GO6" s="507"/>
      <c r="GP6" s="507"/>
      <c r="GQ6" s="507"/>
      <c r="GR6" s="507"/>
      <c r="GS6" s="507"/>
      <c r="GT6" s="507"/>
      <c r="GU6" s="507"/>
      <c r="GV6" s="507"/>
      <c r="GW6" s="507"/>
      <c r="GX6" s="507"/>
      <c r="GY6" s="507"/>
      <c r="GZ6" s="507"/>
      <c r="HA6" s="507"/>
      <c r="HB6" s="507"/>
      <c r="HC6" s="507"/>
      <c r="HD6" s="507"/>
      <c r="HE6" s="507"/>
      <c r="HF6" s="507"/>
      <c r="HG6" s="507"/>
      <c r="HH6" s="507"/>
      <c r="HI6" s="507"/>
      <c r="HJ6" s="507"/>
      <c r="HK6" s="507"/>
      <c r="HL6" s="507"/>
      <c r="HM6" s="507"/>
      <c r="HN6" s="507"/>
      <c r="HO6" s="507"/>
      <c r="HP6" s="507"/>
      <c r="HQ6" s="507"/>
      <c r="HR6" s="507"/>
      <c r="HS6" s="507"/>
      <c r="HT6" s="507"/>
      <c r="HU6" s="507"/>
      <c r="HV6" s="507"/>
      <c r="HW6" s="507"/>
      <c r="HX6" s="507"/>
      <c r="HY6" s="507"/>
      <c r="HZ6" s="507"/>
      <c r="IA6" s="507"/>
      <c r="IB6" s="507"/>
      <c r="IC6" s="507"/>
      <c r="ID6" s="507"/>
      <c r="IE6" s="507"/>
      <c r="IF6" s="507"/>
      <c r="IG6" s="507"/>
      <c r="IH6" s="507"/>
      <c r="II6" s="507"/>
      <c r="IJ6" s="507"/>
      <c r="IK6" s="507"/>
      <c r="IL6" s="507"/>
      <c r="IM6" s="507"/>
      <c r="IN6" s="507"/>
      <c r="IO6" s="507"/>
      <c r="IP6" s="507"/>
      <c r="IQ6" s="507"/>
      <c r="IR6" s="507"/>
    </row>
    <row r="7" spans="1:252" s="158" customFormat="1" ht="23.4" customHeight="1">
      <c r="A7" s="159">
        <v>1.1000000000000001</v>
      </c>
      <c r="B7" s="160"/>
      <c r="C7" s="18" t="s">
        <v>124</v>
      </c>
      <c r="D7" s="31"/>
      <c r="E7" s="31"/>
      <c r="F7" s="38"/>
      <c r="G7" s="42"/>
      <c r="H7" s="154"/>
      <c r="I7" s="47"/>
      <c r="J7" s="150"/>
      <c r="K7" s="151"/>
      <c r="L7" s="161"/>
      <c r="M7" s="162"/>
      <c r="N7" s="162"/>
      <c r="O7" s="162"/>
      <c r="P7" s="162"/>
      <c r="Q7" s="47"/>
      <c r="R7" s="418"/>
      <c r="S7" s="132"/>
      <c r="T7" s="187"/>
      <c r="U7" s="182"/>
      <c r="V7" s="3"/>
    </row>
    <row r="8" spans="1:252" s="158" customFormat="1" ht="23.4" customHeight="1" thickBot="1">
      <c r="A8" s="476">
        <v>1.2</v>
      </c>
      <c r="B8" s="477"/>
      <c r="C8" s="478"/>
      <c r="D8" s="463"/>
      <c r="E8" s="463"/>
      <c r="F8" s="464"/>
      <c r="G8" s="465"/>
      <c r="H8" s="479"/>
      <c r="I8" s="466"/>
      <c r="J8" s="464"/>
      <c r="K8" s="464"/>
      <c r="L8" s="467"/>
      <c r="M8" s="467"/>
      <c r="N8" s="467"/>
      <c r="O8" s="467"/>
      <c r="P8" s="467"/>
      <c r="Q8" s="466"/>
      <c r="R8" s="480"/>
      <c r="S8" s="469"/>
      <c r="T8" s="481"/>
      <c r="U8" s="482"/>
      <c r="V8" s="135"/>
    </row>
    <row r="9" spans="1:252" s="158" customFormat="1" ht="23.4" customHeight="1">
      <c r="A9" s="442">
        <v>2</v>
      </c>
      <c r="B9" s="443" t="s">
        <v>132</v>
      </c>
      <c r="C9" s="444" t="s">
        <v>133</v>
      </c>
      <c r="D9" s="445" t="s">
        <v>84</v>
      </c>
      <c r="E9" s="445" t="s">
        <v>59</v>
      </c>
      <c r="F9" s="446">
        <v>4000</v>
      </c>
      <c r="G9" s="447">
        <v>243923</v>
      </c>
      <c r="H9" s="448"/>
      <c r="I9" s="449">
        <f>Table13514520105[[#This Row],[ค่าบริการรายเดือนตาม Package]]+Table13514520105[[#This Row],[รายการเบิก
คอมขายเพิ่มเติม
(เป้าตามกำหนด)
100-200%]]</f>
        <v>4000</v>
      </c>
      <c r="J9" s="448"/>
      <c r="K9" s="448"/>
      <c r="L9" s="450">
        <f>IF(Table13514520105[[#This Row],[ค่าขายอุปกรณ์]]&gt;Table13514520105[[#This Row],[ต้นทุนค่าขายอุปกรณ์]],Table13514520105[[#This Row],[ต้นทุนค่าขายอุปกรณ์]]*$L$4,Table13514520105[[#This Row],[ค่าขายอุปกรณ์]]*$L$4)</f>
        <v>0</v>
      </c>
      <c r="M9" s="450">
        <f>IF(Table13514520105[[#This Row],[ค่าขายอุปกรณ์]]&gt;Table13514520105[[#This Row],[ต้นทุนค่าขายอุปกรณ์]],SUM(Table13514520105[[#This Row],[ค่าขายอุปกรณ์]]-Table13514520105[[#This Row],[ต้นทุนค่าขายอุปกรณ์]])*$M$4,0)</f>
        <v>0</v>
      </c>
      <c r="N9" s="451">
        <f>Table13514520105[[#This Row],[คอมฯอุปกรณ์
 5%]]+Table13514520105[[#This Row],[คอมฯ อุปกรณ์
25%]]</f>
        <v>0</v>
      </c>
      <c r="O9" s="452"/>
      <c r="P9" s="452"/>
      <c r="Q9" s="453">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454">
        <f>Table13514520105[[#This Row],[รายการเบิก
คอมขาย]]+Table13514520105[[#This Row],[Total
คอมฯ อุปกรณ์]]+Table13514520105[[#This Row],[Total 
คอมฯค่าติดตั้ง/ค่าเชื่อมสัญญาณ]]</f>
        <v>4000</v>
      </c>
      <c r="S9" s="455" t="s">
        <v>135</v>
      </c>
      <c r="T9" s="508" t="s">
        <v>145</v>
      </c>
      <c r="U9" s="457" t="s">
        <v>121</v>
      </c>
      <c r="V9" s="458"/>
    </row>
    <row r="10" spans="1:252" s="158" customFormat="1" ht="23.4" customHeight="1">
      <c r="A10" s="159"/>
      <c r="B10" s="160"/>
      <c r="C10" s="18" t="s">
        <v>134</v>
      </c>
      <c r="D10" s="31"/>
      <c r="E10" s="31"/>
      <c r="F10" s="38"/>
      <c r="G10" s="42"/>
      <c r="H10" s="154"/>
      <c r="I10" s="47"/>
      <c r="J10" s="150"/>
      <c r="K10" s="151"/>
      <c r="L10" s="161"/>
      <c r="M10" s="162"/>
      <c r="N10" s="162"/>
      <c r="O10" s="162"/>
      <c r="P10" s="162"/>
      <c r="Q10" s="47"/>
      <c r="R10" s="418"/>
      <c r="S10" s="132"/>
      <c r="T10" s="187"/>
      <c r="U10" s="182"/>
      <c r="V10" s="459"/>
    </row>
    <row r="11" spans="1:252" s="439" customFormat="1" ht="23.4" customHeight="1" thickBot="1">
      <c r="A11" s="460"/>
      <c r="B11" s="461"/>
      <c r="C11" s="462"/>
      <c r="D11" s="463"/>
      <c r="E11" s="463"/>
      <c r="F11" s="464"/>
      <c r="G11" s="465"/>
      <c r="H11" s="465"/>
      <c r="I11" s="466"/>
      <c r="J11" s="464"/>
      <c r="K11" s="464"/>
      <c r="L11" s="467"/>
      <c r="M11" s="467"/>
      <c r="N11" s="467"/>
      <c r="O11" s="467"/>
      <c r="P11" s="467"/>
      <c r="Q11" s="466"/>
      <c r="R11" s="468"/>
      <c r="S11" s="469"/>
      <c r="T11" s="470"/>
      <c r="U11" s="471"/>
      <c r="V11" s="472"/>
    </row>
    <row r="12" spans="1:252" s="439" customFormat="1" ht="23.4" customHeight="1">
      <c r="A12" s="436">
        <v>3</v>
      </c>
      <c r="B12" s="437" t="s">
        <v>136</v>
      </c>
      <c r="C12" s="440" t="s">
        <v>137</v>
      </c>
      <c r="D12" s="445" t="s">
        <v>78</v>
      </c>
      <c r="E12" s="445" t="s">
        <v>59</v>
      </c>
      <c r="F12" s="39">
        <v>3500</v>
      </c>
      <c r="G12" s="509">
        <v>243923</v>
      </c>
      <c r="H12" s="43"/>
      <c r="I12" s="449">
        <f>Table13514520105[[#This Row],[ค่าบริการรายเดือนตาม Package]]+Table13514520105[[#This Row],[รายการเบิก
คอมขายเพิ่มเติม
(เป้าตามกำหนด)
100-200%]]</f>
        <v>3500</v>
      </c>
      <c r="J12" s="39"/>
      <c r="K12" s="39"/>
      <c r="L12" s="434"/>
      <c r="M12" s="450">
        <f>IF(Table13514520105[[#This Row],[ค่าขายอุปกรณ์]]&gt;Table13514520105[[#This Row],[ต้นทุนค่าขายอุปกรณ์]],SUM(Table13514520105[[#This Row],[ค่าขายอุปกรณ์]]-Table13514520105[[#This Row],[ต้นทุนค่าขายอุปกรณ์]])*$M$4,0)</f>
        <v>0</v>
      </c>
      <c r="N12" s="451">
        <f>Table13514520105[[#This Row],[คอมฯอุปกรณ์
 5%]]+Table13514520105[[#This Row],[คอมฯ อุปกรณ์
25%]]</f>
        <v>0</v>
      </c>
      <c r="O12" s="162"/>
      <c r="P12" s="162"/>
      <c r="Q12" s="453">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454">
        <f>Table13514520105[[#This Row],[รายการเบิก
คอมขาย]]+Table13514520105[[#This Row],[Total
คอมฯ อุปกรณ์]]+Table13514520105[[#This Row],[Total 
คอมฯค่าติดตั้ง/ค่าเชื่อมสัญญาณ]]</f>
        <v>3500</v>
      </c>
      <c r="S12" s="134" t="s">
        <v>139</v>
      </c>
      <c r="T12" s="508" t="s">
        <v>145</v>
      </c>
      <c r="U12" s="184" t="s">
        <v>121</v>
      </c>
      <c r="V12" s="167"/>
    </row>
    <row r="13" spans="1:252" s="439" customFormat="1" ht="23.4" customHeight="1">
      <c r="A13" s="436"/>
      <c r="B13" s="437"/>
      <c r="C13" s="440" t="s">
        <v>138</v>
      </c>
      <c r="D13" s="33"/>
      <c r="E13" s="441"/>
      <c r="F13" s="39"/>
      <c r="G13" s="43"/>
      <c r="H13" s="43"/>
      <c r="I13" s="48"/>
      <c r="J13" s="39"/>
      <c r="K13" s="39"/>
      <c r="L13" s="434"/>
      <c r="M13" s="162"/>
      <c r="N13" s="162"/>
      <c r="O13" s="162"/>
      <c r="P13" s="162"/>
      <c r="Q13" s="435"/>
      <c r="R13" s="438"/>
      <c r="S13" s="134"/>
      <c r="T13" s="190"/>
      <c r="U13" s="184"/>
      <c r="V13" s="167"/>
    </row>
    <row r="14" spans="1:252" s="439" customFormat="1" ht="23.4" customHeight="1" thickBot="1">
      <c r="A14" s="436"/>
      <c r="B14" s="437"/>
      <c r="C14" s="440"/>
      <c r="D14" s="33"/>
      <c r="E14" s="441"/>
      <c r="F14" s="39"/>
      <c r="G14" s="43"/>
      <c r="H14" s="43"/>
      <c r="I14" s="48"/>
      <c r="J14" s="39"/>
      <c r="K14" s="39"/>
      <c r="L14" s="434"/>
      <c r="M14" s="162"/>
      <c r="N14" s="162"/>
      <c r="O14" s="162"/>
      <c r="P14" s="162"/>
      <c r="Q14" s="435"/>
      <c r="R14" s="438"/>
      <c r="S14" s="134"/>
      <c r="T14" s="190"/>
      <c r="U14" s="184"/>
      <c r="V14" s="167"/>
    </row>
    <row r="15" spans="1:252" s="158" customFormat="1" ht="23.4" customHeight="1">
      <c r="A15" s="496">
        <v>4</v>
      </c>
      <c r="B15" s="497" t="s">
        <v>140</v>
      </c>
      <c r="C15" s="498" t="s">
        <v>142</v>
      </c>
      <c r="D15" s="445" t="s">
        <v>79</v>
      </c>
      <c r="E15" s="445" t="s">
        <v>59</v>
      </c>
      <c r="F15" s="448">
        <v>6500</v>
      </c>
      <c r="G15" s="447">
        <v>243923</v>
      </c>
      <c r="H15" s="448"/>
      <c r="I15" s="449">
        <f>Table13514520105[[#This Row],[ค่าบริการรายเดือนตาม Package]]+Table13514520105[[#This Row],[รายการเบิก
คอมขายเพิ่มเติม
(เป้าตามกำหนด)
100-200%]]</f>
        <v>6500</v>
      </c>
      <c r="J15" s="448"/>
      <c r="K15" s="448"/>
      <c r="L15" s="450">
        <f>IF(Table13514520105[[#This Row],[ค่าขายอุปกรณ์]]&gt;Table13514520105[[#This Row],[ต้นทุนค่าขายอุปกรณ์]],Table13514520105[[#This Row],[ต้นทุนค่าขายอุปกรณ์]]*$L$4,Table13514520105[[#This Row],[ค่าขายอุปกรณ์]]*$L$4)</f>
        <v>0</v>
      </c>
      <c r="M15" s="450">
        <f>IF(Table13514520105[[#This Row],[ค่าขายอุปกรณ์]]&gt;Table13514520105[[#This Row],[ต้นทุนค่าขายอุปกรณ์]],SUM(Table13514520105[[#This Row],[ค่าขายอุปกรณ์]]-Table13514520105[[#This Row],[ต้นทุนค่าขายอุปกรณ์]])*$M$4,0)</f>
        <v>0</v>
      </c>
      <c r="N15" s="451">
        <f>Table13514520105[[#This Row],[คอมฯอุปกรณ์
 5%]]+Table13514520105[[#This Row],[คอมฯ อุปกรณ์
25%]]</f>
        <v>0</v>
      </c>
      <c r="O15" s="450"/>
      <c r="P15" s="450"/>
      <c r="Q15" s="453">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454">
        <f>Table13514520105[[#This Row],[รายการเบิก
คอมขาย]]+Table13514520105[[#This Row],[Total
คอมฯ อุปกรณ์]]+Table13514520105[[#This Row],[Total 
คอมฯค่าติดตั้ง/ค่าเชื่อมสัญญาณ]]</f>
        <v>6500</v>
      </c>
      <c r="S15" s="455" t="s">
        <v>143</v>
      </c>
      <c r="T15" s="508" t="s">
        <v>145</v>
      </c>
      <c r="U15" s="499" t="s">
        <v>144</v>
      </c>
      <c r="V15" s="3"/>
    </row>
    <row r="16" spans="1:252" s="158" customFormat="1" ht="23.4" customHeight="1">
      <c r="A16" s="159">
        <v>3.1</v>
      </c>
      <c r="B16" s="166"/>
      <c r="C16" s="370" t="s">
        <v>141</v>
      </c>
      <c r="D16" s="153"/>
      <c r="E16" s="152"/>
      <c r="F16" s="153"/>
      <c r="G16" s="154"/>
      <c r="H16" s="154"/>
      <c r="I16" s="47"/>
      <c r="J16" s="131"/>
      <c r="K16" s="136"/>
      <c r="L16" s="168"/>
      <c r="M16" s="169"/>
      <c r="N16" s="162"/>
      <c r="O16" s="169"/>
      <c r="P16" s="169"/>
      <c r="Q16" s="47"/>
      <c r="R16" s="418"/>
      <c r="S16" s="132"/>
      <c r="T16" s="189"/>
      <c r="U16" s="500"/>
      <c r="V16" s="133"/>
    </row>
    <row r="17" spans="1:23" s="158" customFormat="1" ht="23.4" customHeight="1" thickBot="1">
      <c r="A17" s="476">
        <v>3.2</v>
      </c>
      <c r="B17" s="477"/>
      <c r="C17" s="501"/>
      <c r="D17" s="502"/>
      <c r="E17" s="503"/>
      <c r="F17" s="464"/>
      <c r="G17" s="465"/>
      <c r="H17" s="479"/>
      <c r="I17" s="466"/>
      <c r="J17" s="504"/>
      <c r="K17" s="504"/>
      <c r="L17" s="505"/>
      <c r="M17" s="505"/>
      <c r="N17" s="467"/>
      <c r="O17" s="505"/>
      <c r="P17" s="505"/>
      <c r="Q17" s="466"/>
      <c r="R17" s="480"/>
      <c r="S17" s="469"/>
      <c r="T17" s="470"/>
      <c r="U17" s="506"/>
      <c r="V17" s="167"/>
    </row>
    <row r="18" spans="1:23" s="158" customFormat="1" ht="23.4" hidden="1" customHeight="1">
      <c r="A18" s="483">
        <v>5</v>
      </c>
      <c r="B18" s="484"/>
      <c r="C18" s="485"/>
      <c r="D18" s="152"/>
      <c r="E18" s="152"/>
      <c r="F18" s="486"/>
      <c r="G18" s="487"/>
      <c r="H18" s="486"/>
      <c r="I18" s="488">
        <f>Table13514520105[[#This Row],[ค่าบริการรายเดือนตาม Package]]+Table13514520105[[#This Row],[รายการเบิก
คอมขายเพิ่มเติม
(เป้าตามกำหนด)
100-200%]]</f>
        <v>0</v>
      </c>
      <c r="J18" s="486"/>
      <c r="K18" s="489"/>
      <c r="L18" s="490">
        <f>IF(Table13514520105[[#This Row],[ค่าขายอุปกรณ์]]&gt;Table13514520105[[#This Row],[ต้นทุนค่าขายอุปกรณ์]],Table13514520105[[#This Row],[ต้นทุนค่าขายอุปกรณ์]]*$L$4,Table13514520105[[#This Row],[ค่าขายอุปกรณ์]]*$L$4)</f>
        <v>0</v>
      </c>
      <c r="M18" s="490">
        <f>IF(Table13514520105[[#This Row],[ค่าขายอุปกรณ์]]&gt;Table13514520105[[#This Row],[ต้นทุนค่าขายอุปกรณ์]],SUM(Table13514520105[[#This Row],[ค่าขายอุปกรณ์]]-Table13514520105[[#This Row],[ต้นทุนค่าขายอุปกรณ์]])*$M$4,0)</f>
        <v>0</v>
      </c>
      <c r="N18" s="491">
        <f>Table13514520105[[#This Row],[คอมฯอุปกรณ์
 5%]]+Table13514520105[[#This Row],[คอมฯ อุปกรณ์
25%]]</f>
        <v>0</v>
      </c>
      <c r="O18" s="490"/>
      <c r="P18" s="490"/>
      <c r="Q18" s="49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419">
        <f>Table13514520105[[#This Row],[รายการเบิก
คอมขาย]]+Table13514520105[[#This Row],[Total
คอมฯ อุปกรณ์]]+Table13514520105[[#This Row],[Total 
คอมฯค่าติดตั้ง/ค่าเชื่อมสัญญาณ]]</f>
        <v>0</v>
      </c>
      <c r="S18" s="493"/>
      <c r="T18" s="494"/>
      <c r="U18" s="495"/>
      <c r="V18" s="3"/>
    </row>
    <row r="19" spans="1:23" s="158" customFormat="1" ht="23.4" hidden="1" customHeight="1">
      <c r="A19" s="159">
        <v>5.0999999999999996</v>
      </c>
      <c r="B19" s="166"/>
      <c r="C19" s="422"/>
      <c r="D19" s="152"/>
      <c r="E19" s="152"/>
      <c r="F19" s="153"/>
      <c r="G19" s="154"/>
      <c r="H19" s="154"/>
      <c r="I19" s="47"/>
      <c r="J19" s="131"/>
      <c r="K19" s="136"/>
      <c r="L19" s="168"/>
      <c r="M19" s="169"/>
      <c r="N19" s="162"/>
      <c r="O19" s="169"/>
      <c r="P19" s="169"/>
      <c r="Q19" s="47"/>
      <c r="R19" s="418"/>
      <c r="S19" s="132"/>
      <c r="T19" s="187"/>
      <c r="U19" s="183"/>
      <c r="V19" s="133"/>
    </row>
    <row r="20" spans="1:23" s="158" customFormat="1" ht="23.4" hidden="1" customHeight="1" thickBot="1">
      <c r="A20" s="163">
        <v>5.2</v>
      </c>
      <c r="B20" s="160"/>
      <c r="C20" s="120"/>
      <c r="D20" s="152"/>
      <c r="E20" s="152"/>
      <c r="F20" s="153"/>
      <c r="G20" s="154"/>
      <c r="H20" s="154"/>
      <c r="I20" s="48"/>
      <c r="J20" s="153"/>
      <c r="K20" s="153"/>
      <c r="L20" s="169"/>
      <c r="M20" s="169"/>
      <c r="N20" s="162"/>
      <c r="O20" s="169"/>
      <c r="P20" s="169"/>
      <c r="Q20" s="48"/>
      <c r="R20" s="419"/>
      <c r="S20" s="134"/>
      <c r="T20" s="188"/>
      <c r="U20" s="184"/>
      <c r="V20" s="135"/>
    </row>
    <row r="21" spans="1:23" s="158" customFormat="1" ht="23.4" hidden="1" customHeight="1">
      <c r="A21" s="423">
        <v>6</v>
      </c>
      <c r="B21" s="164"/>
      <c r="C21" s="165"/>
      <c r="D21" s="30"/>
      <c r="E21" s="30"/>
      <c r="F21" s="156"/>
      <c r="G21" s="399"/>
      <c r="H21" s="156"/>
      <c r="I21" s="397">
        <f>Table13514520105[[#This Row],[ค่าบริการรายเดือนตาม Package]]+Table13514520105[[#This Row],[รายการเบิก
คอมขายเพิ่มเติม
(เป้าตามกำหนด)
100-200%]]</f>
        <v>0</v>
      </c>
      <c r="J21" s="156"/>
      <c r="K21" s="37"/>
      <c r="L21" s="157">
        <f>IF(Table13514520105[[#This Row],[ค่าขายอุปกรณ์]]&gt;Table13514520105[[#This Row],[ต้นทุนค่าขายอุปกรณ์]],Table13514520105[[#This Row],[ต้นทุนค่าขายอุปกรณ์]]*$L$4,Table13514520105[[#This Row],[ค่าขายอุปกรณ์]]*$L$4)</f>
        <v>0</v>
      </c>
      <c r="M21" s="157">
        <f>IF(Table13514520105[[#This Row],[ค่าขายอุปกรณ์]]&gt;Table13514520105[[#This Row],[ต้นทุนค่าขายอุปกรณ์]],SUM(Table13514520105[[#This Row],[ค่าขายอุปกรณ์]]-Table13514520105[[#This Row],[ต้นทุนค่าขายอุปกรณ์]])*$M$4,0)</f>
        <v>0</v>
      </c>
      <c r="N21" s="416">
        <f>Table13514520105[[#This Row],[คอมฯอุปกรณ์
 5%]]+Table13514520105[[#This Row],[คอมฯ อุปกรณ์
25%]]</f>
        <v>0</v>
      </c>
      <c r="O21" s="157"/>
      <c r="P21" s="157"/>
      <c r="Q21" s="413">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417">
        <f>Table13514520105[[#This Row],[รายการเบิก
คอมขาย]]+Table13514520105[[#This Row],[Total
คอมฯ อุปกรณ์]]+Table13514520105[[#This Row],[Total 
คอมฯค่าติดตั้ง/ค่าเชื่อมสัญญาณ]]</f>
        <v>0</v>
      </c>
      <c r="S21" s="268"/>
      <c r="T21" s="186"/>
      <c r="U21" s="371"/>
      <c r="V21" s="3"/>
    </row>
    <row r="22" spans="1:23" s="158" customFormat="1" ht="23.4" hidden="1" customHeight="1">
      <c r="A22" s="424">
        <v>7.1</v>
      </c>
      <c r="B22" s="166"/>
      <c r="C22" s="176"/>
      <c r="D22" s="152"/>
      <c r="E22" s="152"/>
      <c r="F22" s="153"/>
      <c r="G22" s="154"/>
      <c r="H22" s="154"/>
      <c r="I22" s="47"/>
      <c r="J22" s="131"/>
      <c r="K22" s="136"/>
      <c r="L22" s="168"/>
      <c r="M22" s="169"/>
      <c r="N22" s="162"/>
      <c r="O22" s="169"/>
      <c r="P22" s="169"/>
      <c r="Q22" s="47"/>
      <c r="R22" s="418"/>
      <c r="S22" s="271"/>
      <c r="T22" s="372"/>
      <c r="U22" s="373"/>
      <c r="V22" s="3"/>
    </row>
    <row r="23" spans="1:23" s="158" customFormat="1" ht="23.4" hidden="1" customHeight="1" thickBot="1">
      <c r="A23" s="163">
        <v>7.2</v>
      </c>
      <c r="B23" s="160"/>
      <c r="C23" s="120"/>
      <c r="D23" s="152"/>
      <c r="E23" s="152"/>
      <c r="F23" s="153"/>
      <c r="G23" s="154"/>
      <c r="H23" s="154"/>
      <c r="I23" s="48"/>
      <c r="J23" s="153"/>
      <c r="K23" s="153"/>
      <c r="L23" s="169"/>
      <c r="M23" s="169"/>
      <c r="N23" s="162"/>
      <c r="O23" s="169"/>
      <c r="P23" s="169"/>
      <c r="Q23" s="48"/>
      <c r="R23" s="419"/>
      <c r="S23" s="273"/>
      <c r="T23" s="188"/>
      <c r="U23" s="34"/>
      <c r="V23" s="3"/>
    </row>
    <row r="24" spans="1:23" s="158" customFormat="1" ht="23.4" hidden="1" customHeight="1">
      <c r="A24" s="423">
        <v>7</v>
      </c>
      <c r="B24" s="425"/>
      <c r="C24" s="165"/>
      <c r="D24" s="30"/>
      <c r="E24" s="30"/>
      <c r="F24" s="156"/>
      <c r="G24" s="399"/>
      <c r="H24" s="156"/>
      <c r="I24" s="397">
        <f>Table13514520105[[#This Row],[ค่าบริการรายเดือนตาม Package]]+Table13514520105[[#This Row],[รายการเบิก
คอมขายเพิ่มเติม
(เป้าตามกำหนด)
100-200%]]</f>
        <v>0</v>
      </c>
      <c r="J24" s="156"/>
      <c r="K24" s="192"/>
      <c r="L24" s="157">
        <f>IF(Table13514520105[[#This Row],[ค่าขายอุปกรณ์]]&gt;Table13514520105[[#This Row],[ต้นทุนค่าขายอุปกรณ์]],Table13514520105[[#This Row],[ต้นทุนค่าขายอุปกรณ์]]*$L$4,Table13514520105[[#This Row],[ค่าขายอุปกรณ์]]*$L$4)</f>
        <v>0</v>
      </c>
      <c r="M24" s="157">
        <f>IF(Table13514520105[[#This Row],[ค่าขายอุปกรณ์]]&gt;Table13514520105[[#This Row],[ต้นทุนค่าขายอุปกรณ์]],SUM(Table13514520105[[#This Row],[ค่าขายอุปกรณ์]]-Table13514520105[[#This Row],[ต้นทุนค่าขายอุปกรณ์]])*$M$4,0)</f>
        <v>0</v>
      </c>
      <c r="N24" s="416">
        <f>Table13514520105[[#This Row],[คอมฯอุปกรณ์
 5%]]+Table13514520105[[#This Row],[คอมฯ อุปกรณ์
25%]]</f>
        <v>0</v>
      </c>
      <c r="O24" s="157"/>
      <c r="P24" s="192"/>
      <c r="Q24" s="413">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417">
        <f>Table13514520105[[#This Row],[รายการเบิก
คอมขาย]]+Table13514520105[[#This Row],[Total
คอมฯ อุปกรณ์]]+Table13514520105[[#This Row],[Total 
คอมฯค่าติดตั้ง/ค่าเชื่อมสัญญาณ]]</f>
        <v>0</v>
      </c>
      <c r="S24" s="268"/>
      <c r="T24" s="186"/>
      <c r="U24" s="371"/>
      <c r="V24" s="3"/>
    </row>
    <row r="25" spans="1:23" s="158" customFormat="1" ht="23.4" hidden="1" customHeight="1">
      <c r="A25" s="424">
        <v>8.1</v>
      </c>
      <c r="B25" s="160"/>
      <c r="C25" s="422"/>
      <c r="D25" s="152"/>
      <c r="E25" s="152"/>
      <c r="F25" s="153"/>
      <c r="G25" s="154"/>
      <c r="H25" s="154"/>
      <c r="I25" s="47"/>
      <c r="J25" s="131"/>
      <c r="K25" s="136"/>
      <c r="L25" s="168"/>
      <c r="M25" s="169"/>
      <c r="N25" s="162"/>
      <c r="O25" s="169"/>
      <c r="P25" s="169"/>
      <c r="Q25" s="47"/>
      <c r="R25" s="418"/>
      <c r="S25" s="132"/>
      <c r="T25" s="272"/>
      <c r="U25" s="373"/>
      <c r="V25" s="3"/>
    </row>
    <row r="26" spans="1:23" s="158" customFormat="1" ht="82.2" hidden="1" customHeight="1" thickBot="1">
      <c r="A26" s="163">
        <v>8.1999999999999993</v>
      </c>
      <c r="B26" s="160"/>
      <c r="C26" s="415"/>
      <c r="D26" s="152"/>
      <c r="E26" s="152"/>
      <c r="F26" s="153"/>
      <c r="G26" s="154"/>
      <c r="H26" s="154"/>
      <c r="I26" s="48"/>
      <c r="J26" s="153"/>
      <c r="K26" s="153"/>
      <c r="L26" s="169"/>
      <c r="M26" s="169"/>
      <c r="N26" s="162"/>
      <c r="O26" s="169"/>
      <c r="P26" s="169"/>
      <c r="Q26" s="48"/>
      <c r="R26" s="419"/>
      <c r="S26" s="273"/>
      <c r="T26" s="264"/>
      <c r="U26" s="34"/>
      <c r="V26" s="277"/>
    </row>
    <row r="27" spans="1:23" ht="22.95" hidden="1" customHeight="1">
      <c r="A27" s="420">
        <v>8</v>
      </c>
      <c r="B27" s="421"/>
      <c r="C27" s="165"/>
      <c r="D27" s="30"/>
      <c r="E27" s="30"/>
      <c r="F27" s="156"/>
      <c r="G27" s="426"/>
      <c r="H27" s="156"/>
      <c r="I27" s="397">
        <f>Table13514520105[[#This Row],[ค่าบริการรายเดือนตาม Package]]+Table13514520105[[#This Row],[รายการเบิก
คอมขายเพิ่มเติม
(เป้าตามกำหนด)
100-200%]]</f>
        <v>0</v>
      </c>
      <c r="J27" s="156"/>
      <c r="K27" s="192"/>
      <c r="L27" s="157">
        <f>IF(Table13514520105[[#This Row],[ค่าขายอุปกรณ์]]&gt;Table13514520105[[#This Row],[ต้นทุนค่าขายอุปกรณ์]],Table13514520105[[#This Row],[ต้นทุนค่าขายอุปกรณ์]]*$L$4,Table13514520105[[#This Row],[ค่าขายอุปกรณ์]]*$L$4)</f>
        <v>0</v>
      </c>
      <c r="M27" s="157">
        <f>IF(Table13514520105[[#This Row],[ค่าขายอุปกรณ์]]&gt;Table13514520105[[#This Row],[ต้นทุนค่าขายอุปกรณ์]],SUM(Table13514520105[[#This Row],[ค่าขายอุปกรณ์]]-Table13514520105[[#This Row],[ต้นทุนค่าขายอุปกรณ์]])*$M$4,0)</f>
        <v>0</v>
      </c>
      <c r="N27" s="416">
        <f>Table13514520105[[#This Row],[คอมฯอุปกรณ์
 5%]]+Table13514520105[[#This Row],[คอมฯ อุปกรณ์
25%]]</f>
        <v>0</v>
      </c>
      <c r="O27" s="157"/>
      <c r="P27" s="157"/>
      <c r="Q27" s="413">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7" s="417">
        <f>Table13514520105[[#This Row],[รายการเบิก
คอมขาย]]+Table13514520105[[#This Row],[Total
คอมฯ อุปกรณ์]]+Table13514520105[[#This Row],[Total 
คอมฯค่าติดตั้ง/ค่าเชื่อมสัญญาณ]]</f>
        <v>0</v>
      </c>
      <c r="S27" s="268"/>
      <c r="T27" s="249"/>
      <c r="U27" s="371"/>
      <c r="V27" s="3"/>
      <c r="W27" s="3"/>
    </row>
    <row r="28" spans="1:23" s="158" customFormat="1" ht="23.4" hidden="1" customHeight="1">
      <c r="A28" s="424">
        <v>9.1</v>
      </c>
      <c r="B28" s="160"/>
      <c r="C28" s="422"/>
      <c r="D28" s="152"/>
      <c r="E28" s="152"/>
      <c r="F28" s="153"/>
      <c r="G28" s="154"/>
      <c r="H28" s="154"/>
      <c r="I28" s="47"/>
      <c r="J28" s="131"/>
      <c r="K28" s="136"/>
      <c r="L28" s="168"/>
      <c r="M28" s="169"/>
      <c r="N28" s="162"/>
      <c r="O28" s="169"/>
      <c r="P28" s="169"/>
      <c r="Q28" s="47"/>
      <c r="R28" s="418"/>
      <c r="S28" s="271"/>
      <c r="T28" s="272"/>
      <c r="U28" s="373"/>
      <c r="V28" s="3"/>
    </row>
    <row r="29" spans="1:23" ht="25.5" hidden="1" customHeight="1">
      <c r="A29" s="163">
        <v>9.1999999999999993</v>
      </c>
      <c r="B29" s="160"/>
      <c r="C29" s="120"/>
      <c r="D29" s="152"/>
      <c r="E29" s="152"/>
      <c r="F29" s="153"/>
      <c r="G29" s="154"/>
      <c r="H29" s="154"/>
      <c r="I29" s="48"/>
      <c r="J29" s="153"/>
      <c r="K29" s="153"/>
      <c r="L29" s="169"/>
      <c r="M29" s="169"/>
      <c r="N29" s="162"/>
      <c r="O29" s="169"/>
      <c r="P29" s="169"/>
      <c r="Q29" s="48"/>
      <c r="R29" s="419"/>
      <c r="S29" s="374"/>
      <c r="T29" s="375"/>
      <c r="U29" s="376"/>
      <c r="V29" s="277"/>
      <c r="W29" s="3"/>
    </row>
    <row r="30" spans="1:23" ht="29.25" customHeight="1" thickBot="1">
      <c r="A30" s="142"/>
      <c r="B30" s="143"/>
      <c r="C30" s="144" t="s">
        <v>5</v>
      </c>
      <c r="D30" s="145"/>
      <c r="E30" s="145"/>
      <c r="F30" s="173">
        <f>SUBTOTAL(109,Table13514520105[ค่าบริการรายเดือนตาม Package])</f>
        <v>18542.060000000001</v>
      </c>
      <c r="G30" s="146"/>
      <c r="H30" s="173">
        <f>SUBTOTAL(109,Table13514520105[รายการเบิก
คอมขายเพิ่มเติม
(เป้าตามกำหนด)
100-200%])</f>
        <v>0</v>
      </c>
      <c r="I30" s="173">
        <f>SUBTOTAL(109,Table13514520105[รายการเบิก
คอมขาย])</f>
        <v>18542.060000000001</v>
      </c>
      <c r="J30" s="173">
        <f>SUBTOTAL(109,Table13514520105[ค่าขายอุปกรณ์])</f>
        <v>0</v>
      </c>
      <c r="K30" s="173">
        <f>SUBTOTAL(109,Table13514520105[ต้นทุนค่าขายอุปกรณ์])</f>
        <v>0</v>
      </c>
      <c r="L30" s="173">
        <f>SUBTOTAL(109,Table13514520105[คอมฯอุปกรณ์
 5%])</f>
        <v>0</v>
      </c>
      <c r="M30" s="173">
        <f>SUBTOTAL(109,Table13514520105[คอมฯ อุปกรณ์
25%])</f>
        <v>0</v>
      </c>
      <c r="N30" s="173"/>
      <c r="O30" s="173"/>
      <c r="P30" s="173"/>
      <c r="Q30" s="173">
        <f>SUBTOTAL(109,Table13514520105[Total 
คอมฯค่าติดตั้ง/ค่าเชื่อมสัญญาณ])</f>
        <v>0</v>
      </c>
      <c r="R30" s="175">
        <f>SUBTOTAL(109,Table13514520105[รวมค่าคอมฯ])</f>
        <v>18542.060000000001</v>
      </c>
      <c r="S30" s="146">
        <f>SUBTOTAL(109,Table13514520105[เลขที่ใบกำกับ/ใบเสร็จรับเงิน])</f>
        <v>0</v>
      </c>
      <c r="T30" s="191">
        <f>SUBTOTAL(109,Table13514520105[เลขที่นำส่งเงิน
])</f>
        <v>0</v>
      </c>
      <c r="U30" s="185"/>
      <c r="V30" s="427"/>
      <c r="W30" s="3"/>
    </row>
    <row r="31" spans="1:23" ht="15.6">
      <c r="A31" s="21"/>
      <c r="B31" s="21"/>
      <c r="C31" s="22"/>
      <c r="D31" s="22"/>
      <c r="E31" s="22"/>
      <c r="F31" s="11"/>
      <c r="G31" s="26"/>
      <c r="H31" s="26"/>
      <c r="I31" s="11"/>
      <c r="J31" s="11"/>
      <c r="K31" s="11"/>
      <c r="L31" s="23"/>
      <c r="M31" s="23"/>
      <c r="N31" s="23"/>
      <c r="O31" s="23"/>
      <c r="P31" s="23"/>
      <c r="Q31" s="11"/>
      <c r="R31" s="11"/>
      <c r="S31" s="25"/>
      <c r="T31" s="24"/>
      <c r="U31" s="25"/>
      <c r="W31" s="25"/>
    </row>
    <row r="32" spans="1:23" ht="28.5" customHeight="1">
      <c r="L32" s="35"/>
      <c r="M32" s="35"/>
      <c r="N32" s="35"/>
      <c r="O32" s="35"/>
      <c r="P32" s="35"/>
      <c r="S32" s="27"/>
      <c r="U32" s="27"/>
    </row>
    <row r="33" spans="3:21" ht="28.5" customHeight="1">
      <c r="S33" s="4"/>
      <c r="U33" s="4"/>
    </row>
    <row r="34" spans="3:21" ht="28.5" hidden="1" customHeight="1">
      <c r="S34" s="28"/>
      <c r="T34" s="140"/>
      <c r="U34" s="28"/>
    </row>
    <row r="35" spans="3:21" ht="28.5" hidden="1" customHeight="1">
      <c r="S35" s="28"/>
      <c r="T35" s="140"/>
      <c r="U35" s="28"/>
    </row>
    <row r="36" spans="3:21" ht="15" hidden="1">
      <c r="C36" s="4"/>
      <c r="D36" s="35"/>
      <c r="E36" s="35"/>
    </row>
    <row r="37" spans="3:21" ht="15" hidden="1">
      <c r="C37" s="29"/>
      <c r="D37" s="36"/>
      <c r="E37" s="36"/>
    </row>
    <row r="38" spans="3:21" ht="15" hidden="1"/>
    <row r="49" ht="0" hidden="1" customHeight="1"/>
    <row r="50" ht="0" hidden="1" customHeight="1"/>
    <row r="51" ht="0" hidden="1" customHeight="1"/>
    <row r="166" spans="10:10" ht="15" hidden="1">
      <c r="J166" s="35">
        <v>3</v>
      </c>
    </row>
  </sheetData>
  <sheetProtection formatCells="0" insertRows="0" insertHyperlinks="0" deleteRows="0" sort="0" autoFilter="0" pivotTables="0"/>
  <phoneticPr fontId="20" type="noConversion"/>
  <dataValidations count="3">
    <dataValidation type="list" allowBlank="1" showInputMessage="1" showErrorMessage="1" sqref="JH65536:JH65565 TD65536:TD65565 ACZ65536:ACZ65565 AMV65536:AMV65565 AWR65536:AWR65565 BGN65536:BGN65565 BQJ65536:BQJ65565 CAF65536:CAF65565 CKB65536:CKB65565 CTX65536:CTX65565 DDT65536:DDT65565 DNP65536:DNP65565 DXL65536:DXL65565 EHH65536:EHH65565 ERD65536:ERD65565 FAZ65536:FAZ65565 FKV65536:FKV65565 FUR65536:FUR65565 GEN65536:GEN65565 GOJ65536:GOJ65565 GYF65536:GYF65565 HIB65536:HIB65565 HRX65536:HRX65565 IBT65536:IBT65565 ILP65536:ILP65565 IVL65536:IVL65565 JFH65536:JFH65565 JPD65536:JPD65565 JYZ65536:JYZ65565 KIV65536:KIV65565 KSR65536:KSR65565 LCN65536:LCN65565 LMJ65536:LMJ65565 LWF65536:LWF65565 MGB65536:MGB65565 MPX65536:MPX65565 MZT65536:MZT65565 NJP65536:NJP65565 NTL65536:NTL65565 ODH65536:ODH65565 OND65536:OND65565 OWZ65536:OWZ65565 PGV65536:PGV65565 PQR65536:PQR65565 QAN65536:QAN65565 QKJ65536:QKJ65565 QUF65536:QUF65565 REB65536:REB65565 RNX65536:RNX65565 RXT65536:RXT65565 SHP65536:SHP65565 SRL65536:SRL65565 TBH65536:TBH65565 TLD65536:TLD65565 TUZ65536:TUZ65565 UEV65536:UEV65565 UOR65536:UOR65565 UYN65536:UYN65565 VIJ65536:VIJ65565 VSF65536:VSF65565 WCB65536:WCB65565 WLX65536:WLX65565 WVT65536:WVT65565 JH131072:JH131101 TD131072:TD131101 ACZ131072:ACZ131101 AMV131072:AMV131101 AWR131072:AWR131101 BGN131072:BGN131101 BQJ131072:BQJ131101 CAF131072:CAF131101 CKB131072:CKB131101 CTX131072:CTX131101 DDT131072:DDT131101 DNP131072:DNP131101 DXL131072:DXL131101 EHH131072:EHH131101 ERD131072:ERD131101 FAZ131072:FAZ131101 FKV131072:FKV131101 FUR131072:FUR131101 GEN131072:GEN131101 GOJ131072:GOJ131101 GYF131072:GYF131101 HIB131072:HIB131101 HRX131072:HRX131101 IBT131072:IBT131101 ILP131072:ILP131101 IVL131072:IVL131101 JFH131072:JFH131101 JPD131072:JPD131101 JYZ131072:JYZ131101 KIV131072:KIV131101 KSR131072:KSR131101 LCN131072:LCN131101 LMJ131072:LMJ131101 LWF131072:LWF131101 MGB131072:MGB131101 MPX131072:MPX131101 MZT131072:MZT131101 NJP131072:NJP131101 NTL131072:NTL131101 ODH131072:ODH131101 OND131072:OND131101 OWZ131072:OWZ131101 PGV131072:PGV131101 PQR131072:PQR131101 QAN131072:QAN131101 QKJ131072:QKJ131101 QUF131072:QUF131101 REB131072:REB131101 RNX131072:RNX131101 RXT131072:RXT131101 SHP131072:SHP131101 SRL131072:SRL131101 TBH131072:TBH131101 TLD131072:TLD131101 TUZ131072:TUZ131101 UEV131072:UEV131101 UOR131072:UOR131101 UYN131072:UYN131101 VIJ131072:VIJ131101 VSF131072:VSF131101 WCB131072:WCB131101 WLX131072:WLX131101 WVT131072:WVT131101 JH196608:JH196637 TD196608:TD196637 ACZ196608:ACZ196637 AMV196608:AMV196637 AWR196608:AWR196637 BGN196608:BGN196637 BQJ196608:BQJ196637 CAF196608:CAF196637 CKB196608:CKB196637 CTX196608:CTX196637 DDT196608:DDT196637 DNP196608:DNP196637 DXL196608:DXL196637 EHH196608:EHH196637 ERD196608:ERD196637 FAZ196608:FAZ196637 FKV196608:FKV196637 FUR196608:FUR196637 GEN196608:GEN196637 GOJ196608:GOJ196637 GYF196608:GYF196637 HIB196608:HIB196637 HRX196608:HRX196637 IBT196608:IBT196637 ILP196608:ILP196637 IVL196608:IVL196637 JFH196608:JFH196637 JPD196608:JPD196637 JYZ196608:JYZ196637 KIV196608:KIV196637 KSR196608:KSR196637 LCN196608:LCN196637 LMJ196608:LMJ196637 LWF196608:LWF196637 MGB196608:MGB196637 MPX196608:MPX196637 MZT196608:MZT196637 NJP196608:NJP196637 NTL196608:NTL196637 ODH196608:ODH196637 OND196608:OND196637 OWZ196608:OWZ196637 PGV196608:PGV196637 PQR196608:PQR196637 QAN196608:QAN196637 QKJ196608:QKJ196637 QUF196608:QUF196637 REB196608:REB196637 RNX196608:RNX196637 RXT196608:RXT196637 SHP196608:SHP196637 SRL196608:SRL196637 TBH196608:TBH196637 TLD196608:TLD196637 TUZ196608:TUZ196637 UEV196608:UEV196637 UOR196608:UOR196637 UYN196608:UYN196637 VIJ196608:VIJ196637 VSF196608:VSF196637 WCB196608:WCB196637 WLX196608:WLX196637 WVT196608:WVT196637 JH262144:JH262173 TD262144:TD262173 ACZ262144:ACZ262173 AMV262144:AMV262173 AWR262144:AWR262173 BGN262144:BGN262173 BQJ262144:BQJ262173 CAF262144:CAF262173 CKB262144:CKB262173 CTX262144:CTX262173 DDT262144:DDT262173 DNP262144:DNP262173 DXL262144:DXL262173 EHH262144:EHH262173 ERD262144:ERD262173 FAZ262144:FAZ262173 FKV262144:FKV262173 FUR262144:FUR262173 GEN262144:GEN262173 GOJ262144:GOJ262173 GYF262144:GYF262173 HIB262144:HIB262173 HRX262144:HRX262173 IBT262144:IBT262173 ILP262144:ILP262173 IVL262144:IVL262173 JFH262144:JFH262173 JPD262144:JPD262173 JYZ262144:JYZ262173 KIV262144:KIV262173 KSR262144:KSR262173 LCN262144:LCN262173 LMJ262144:LMJ262173 LWF262144:LWF262173 MGB262144:MGB262173 MPX262144:MPX262173 MZT262144:MZT262173 NJP262144:NJP262173 NTL262144:NTL262173 ODH262144:ODH262173 OND262144:OND262173 OWZ262144:OWZ262173 PGV262144:PGV262173 PQR262144:PQR262173 QAN262144:QAN262173 QKJ262144:QKJ262173 QUF262144:QUF262173 REB262144:REB262173 RNX262144:RNX262173 RXT262144:RXT262173 SHP262144:SHP262173 SRL262144:SRL262173 TBH262144:TBH262173 TLD262144:TLD262173 TUZ262144:TUZ262173 UEV262144:UEV262173 UOR262144:UOR262173 UYN262144:UYN262173 VIJ262144:VIJ262173 VSF262144:VSF262173 WCB262144:WCB262173 WLX262144:WLX262173 WVT262144:WVT262173 JH327680:JH327709 TD327680:TD327709 ACZ327680:ACZ327709 AMV327680:AMV327709 AWR327680:AWR327709 BGN327680:BGN327709 BQJ327680:BQJ327709 CAF327680:CAF327709 CKB327680:CKB327709 CTX327680:CTX327709 DDT327680:DDT327709 DNP327680:DNP327709 DXL327680:DXL327709 EHH327680:EHH327709 ERD327680:ERD327709 FAZ327680:FAZ327709 FKV327680:FKV327709 FUR327680:FUR327709 GEN327680:GEN327709 GOJ327680:GOJ327709 GYF327680:GYF327709 HIB327680:HIB327709 HRX327680:HRX327709 IBT327680:IBT327709 ILP327680:ILP327709 IVL327680:IVL327709 JFH327680:JFH327709 JPD327680:JPD327709 JYZ327680:JYZ327709 KIV327680:KIV327709 KSR327680:KSR327709 LCN327680:LCN327709 LMJ327680:LMJ327709 LWF327680:LWF327709 MGB327680:MGB327709 MPX327680:MPX327709 MZT327680:MZT327709 NJP327680:NJP327709 NTL327680:NTL327709 ODH327680:ODH327709 OND327680:OND327709 OWZ327680:OWZ327709 PGV327680:PGV327709 PQR327680:PQR327709 QAN327680:QAN327709 QKJ327680:QKJ327709 QUF327680:QUF327709 REB327680:REB327709 RNX327680:RNX327709 RXT327680:RXT327709 SHP327680:SHP327709 SRL327680:SRL327709 TBH327680:TBH327709 TLD327680:TLD327709 TUZ327680:TUZ327709 UEV327680:UEV327709 UOR327680:UOR327709 UYN327680:UYN327709 VIJ327680:VIJ327709 VSF327680:VSF327709 WCB327680:WCB327709 WLX327680:WLX327709 WVT327680:WVT327709 JH393216:JH393245 TD393216:TD393245 ACZ393216:ACZ393245 AMV393216:AMV393245 AWR393216:AWR393245 BGN393216:BGN393245 BQJ393216:BQJ393245 CAF393216:CAF393245 CKB393216:CKB393245 CTX393216:CTX393245 DDT393216:DDT393245 DNP393216:DNP393245 DXL393216:DXL393245 EHH393216:EHH393245 ERD393216:ERD393245 FAZ393216:FAZ393245 FKV393216:FKV393245 FUR393216:FUR393245 GEN393216:GEN393245 GOJ393216:GOJ393245 GYF393216:GYF393245 HIB393216:HIB393245 HRX393216:HRX393245 IBT393216:IBT393245 ILP393216:ILP393245 IVL393216:IVL393245 JFH393216:JFH393245 JPD393216:JPD393245 JYZ393216:JYZ393245 KIV393216:KIV393245 KSR393216:KSR393245 LCN393216:LCN393245 LMJ393216:LMJ393245 LWF393216:LWF393245 MGB393216:MGB393245 MPX393216:MPX393245 MZT393216:MZT393245 NJP393216:NJP393245 NTL393216:NTL393245 ODH393216:ODH393245 OND393216:OND393245 OWZ393216:OWZ393245 PGV393216:PGV393245 PQR393216:PQR393245 QAN393216:QAN393245 QKJ393216:QKJ393245 QUF393216:QUF393245 REB393216:REB393245 RNX393216:RNX393245 RXT393216:RXT393245 SHP393216:SHP393245 SRL393216:SRL393245 TBH393216:TBH393245 TLD393216:TLD393245 TUZ393216:TUZ393245 UEV393216:UEV393245 UOR393216:UOR393245 UYN393216:UYN393245 VIJ393216:VIJ393245 VSF393216:VSF393245 WCB393216:WCB393245 WLX393216:WLX393245 WVT393216:WVT393245 JH458752:JH458781 TD458752:TD458781 ACZ458752:ACZ458781 AMV458752:AMV458781 AWR458752:AWR458781 BGN458752:BGN458781 BQJ458752:BQJ458781 CAF458752:CAF458781 CKB458752:CKB458781 CTX458752:CTX458781 DDT458752:DDT458781 DNP458752:DNP458781 DXL458752:DXL458781 EHH458752:EHH458781 ERD458752:ERD458781 FAZ458752:FAZ458781 FKV458752:FKV458781 FUR458752:FUR458781 GEN458752:GEN458781 GOJ458752:GOJ458781 GYF458752:GYF458781 HIB458752:HIB458781 HRX458752:HRX458781 IBT458752:IBT458781 ILP458752:ILP458781 IVL458752:IVL458781 JFH458752:JFH458781 JPD458752:JPD458781 JYZ458752:JYZ458781 KIV458752:KIV458781 KSR458752:KSR458781 LCN458752:LCN458781 LMJ458752:LMJ458781 LWF458752:LWF458781 MGB458752:MGB458781 MPX458752:MPX458781 MZT458752:MZT458781 NJP458752:NJP458781 NTL458752:NTL458781 ODH458752:ODH458781 OND458752:OND458781 OWZ458752:OWZ458781 PGV458752:PGV458781 PQR458752:PQR458781 QAN458752:QAN458781 QKJ458752:QKJ458781 QUF458752:QUF458781 REB458752:REB458781 RNX458752:RNX458781 RXT458752:RXT458781 SHP458752:SHP458781 SRL458752:SRL458781 TBH458752:TBH458781 TLD458752:TLD458781 TUZ458752:TUZ458781 UEV458752:UEV458781 UOR458752:UOR458781 UYN458752:UYN458781 VIJ458752:VIJ458781 VSF458752:VSF458781 WCB458752:WCB458781 WLX458752:WLX458781 WVT458752:WVT458781 JH524288:JH524317 TD524288:TD524317 ACZ524288:ACZ524317 AMV524288:AMV524317 AWR524288:AWR524317 BGN524288:BGN524317 BQJ524288:BQJ524317 CAF524288:CAF524317 CKB524288:CKB524317 CTX524288:CTX524317 DDT524288:DDT524317 DNP524288:DNP524317 DXL524288:DXL524317 EHH524288:EHH524317 ERD524288:ERD524317 FAZ524288:FAZ524317 FKV524288:FKV524317 FUR524288:FUR524317 GEN524288:GEN524317 GOJ524288:GOJ524317 GYF524288:GYF524317 HIB524288:HIB524317 HRX524288:HRX524317 IBT524288:IBT524317 ILP524288:ILP524317 IVL524288:IVL524317 JFH524288:JFH524317 JPD524288:JPD524317 JYZ524288:JYZ524317 KIV524288:KIV524317 KSR524288:KSR524317 LCN524288:LCN524317 LMJ524288:LMJ524317 LWF524288:LWF524317 MGB524288:MGB524317 MPX524288:MPX524317 MZT524288:MZT524317 NJP524288:NJP524317 NTL524288:NTL524317 ODH524288:ODH524317 OND524288:OND524317 OWZ524288:OWZ524317 PGV524288:PGV524317 PQR524288:PQR524317 QAN524288:QAN524317 QKJ524288:QKJ524317 QUF524288:QUF524317 REB524288:REB524317 RNX524288:RNX524317 RXT524288:RXT524317 SHP524288:SHP524317 SRL524288:SRL524317 TBH524288:TBH524317 TLD524288:TLD524317 TUZ524288:TUZ524317 UEV524288:UEV524317 UOR524288:UOR524317 UYN524288:UYN524317 VIJ524288:VIJ524317 VSF524288:VSF524317 WCB524288:WCB524317 WLX524288:WLX524317 WVT524288:WVT524317 JH589824:JH589853 TD589824:TD589853 ACZ589824:ACZ589853 AMV589824:AMV589853 AWR589824:AWR589853 BGN589824:BGN589853 BQJ589824:BQJ589853 CAF589824:CAF589853 CKB589824:CKB589853 CTX589824:CTX589853 DDT589824:DDT589853 DNP589824:DNP589853 DXL589824:DXL589853 EHH589824:EHH589853 ERD589824:ERD589853 FAZ589824:FAZ589853 FKV589824:FKV589853 FUR589824:FUR589853 GEN589824:GEN589853 GOJ589824:GOJ589853 GYF589824:GYF589853 HIB589824:HIB589853 HRX589824:HRX589853 IBT589824:IBT589853 ILP589824:ILP589853 IVL589824:IVL589853 JFH589824:JFH589853 JPD589824:JPD589853 JYZ589824:JYZ589853 KIV589824:KIV589853 KSR589824:KSR589853 LCN589824:LCN589853 LMJ589824:LMJ589853 LWF589824:LWF589853 MGB589824:MGB589853 MPX589824:MPX589853 MZT589824:MZT589853 NJP589824:NJP589853 NTL589824:NTL589853 ODH589824:ODH589853 OND589824:OND589853 OWZ589824:OWZ589853 PGV589824:PGV589853 PQR589824:PQR589853 QAN589824:QAN589853 QKJ589824:QKJ589853 QUF589824:QUF589853 REB589824:REB589853 RNX589824:RNX589853 RXT589824:RXT589853 SHP589824:SHP589853 SRL589824:SRL589853 TBH589824:TBH589853 TLD589824:TLD589853 TUZ589824:TUZ589853 UEV589824:UEV589853 UOR589824:UOR589853 UYN589824:UYN589853 VIJ589824:VIJ589853 VSF589824:VSF589853 WCB589824:WCB589853 WLX589824:WLX589853 WVT589824:WVT589853 JH655360:JH655389 TD655360:TD655389 ACZ655360:ACZ655389 AMV655360:AMV655389 AWR655360:AWR655389 BGN655360:BGN655389 BQJ655360:BQJ655389 CAF655360:CAF655389 CKB655360:CKB655389 CTX655360:CTX655389 DDT655360:DDT655389 DNP655360:DNP655389 DXL655360:DXL655389 EHH655360:EHH655389 ERD655360:ERD655389 FAZ655360:FAZ655389 FKV655360:FKV655389 FUR655360:FUR655389 GEN655360:GEN655389 GOJ655360:GOJ655389 GYF655360:GYF655389 HIB655360:HIB655389 HRX655360:HRX655389 IBT655360:IBT655389 ILP655360:ILP655389 IVL655360:IVL655389 JFH655360:JFH655389 JPD655360:JPD655389 JYZ655360:JYZ655389 KIV655360:KIV655389 KSR655360:KSR655389 LCN655360:LCN655389 LMJ655360:LMJ655389 LWF655360:LWF655389 MGB655360:MGB655389 MPX655360:MPX655389 MZT655360:MZT655389 NJP655360:NJP655389 NTL655360:NTL655389 ODH655360:ODH655389 OND655360:OND655389 OWZ655360:OWZ655389 PGV655360:PGV655389 PQR655360:PQR655389 QAN655360:QAN655389 QKJ655360:QKJ655389 QUF655360:QUF655389 REB655360:REB655389 RNX655360:RNX655389 RXT655360:RXT655389 SHP655360:SHP655389 SRL655360:SRL655389 TBH655360:TBH655389 TLD655360:TLD655389 TUZ655360:TUZ655389 UEV655360:UEV655389 UOR655360:UOR655389 UYN655360:UYN655389 VIJ655360:VIJ655389 VSF655360:VSF655389 WCB655360:WCB655389 WLX655360:WLX655389 WVT655360:WVT655389 JH720896:JH720925 TD720896:TD720925 ACZ720896:ACZ720925 AMV720896:AMV720925 AWR720896:AWR720925 BGN720896:BGN720925 BQJ720896:BQJ720925 CAF720896:CAF720925 CKB720896:CKB720925 CTX720896:CTX720925 DDT720896:DDT720925 DNP720896:DNP720925 DXL720896:DXL720925 EHH720896:EHH720925 ERD720896:ERD720925 FAZ720896:FAZ720925 FKV720896:FKV720925 FUR720896:FUR720925 GEN720896:GEN720925 GOJ720896:GOJ720925 GYF720896:GYF720925 HIB720896:HIB720925 HRX720896:HRX720925 IBT720896:IBT720925 ILP720896:ILP720925 IVL720896:IVL720925 JFH720896:JFH720925 JPD720896:JPD720925 JYZ720896:JYZ720925 KIV720896:KIV720925 KSR720896:KSR720925 LCN720896:LCN720925 LMJ720896:LMJ720925 LWF720896:LWF720925 MGB720896:MGB720925 MPX720896:MPX720925 MZT720896:MZT720925 NJP720896:NJP720925 NTL720896:NTL720925 ODH720896:ODH720925 OND720896:OND720925 OWZ720896:OWZ720925 PGV720896:PGV720925 PQR720896:PQR720925 QAN720896:QAN720925 QKJ720896:QKJ720925 QUF720896:QUF720925 REB720896:REB720925 RNX720896:RNX720925 RXT720896:RXT720925 SHP720896:SHP720925 SRL720896:SRL720925 TBH720896:TBH720925 TLD720896:TLD720925 TUZ720896:TUZ720925 UEV720896:UEV720925 UOR720896:UOR720925 UYN720896:UYN720925 VIJ720896:VIJ720925 VSF720896:VSF720925 WCB720896:WCB720925 WLX720896:WLX720925 WVT720896:WVT720925 JH786432:JH786461 TD786432:TD786461 ACZ786432:ACZ786461 AMV786432:AMV786461 AWR786432:AWR786461 BGN786432:BGN786461 BQJ786432:BQJ786461 CAF786432:CAF786461 CKB786432:CKB786461 CTX786432:CTX786461 DDT786432:DDT786461 DNP786432:DNP786461 DXL786432:DXL786461 EHH786432:EHH786461 ERD786432:ERD786461 FAZ786432:FAZ786461 FKV786432:FKV786461 FUR786432:FUR786461 GEN786432:GEN786461 GOJ786432:GOJ786461 GYF786432:GYF786461 HIB786432:HIB786461 HRX786432:HRX786461 IBT786432:IBT786461 ILP786432:ILP786461 IVL786432:IVL786461 JFH786432:JFH786461 JPD786432:JPD786461 JYZ786432:JYZ786461 KIV786432:KIV786461 KSR786432:KSR786461 LCN786432:LCN786461 LMJ786432:LMJ786461 LWF786432:LWF786461 MGB786432:MGB786461 MPX786432:MPX786461 MZT786432:MZT786461 NJP786432:NJP786461 NTL786432:NTL786461 ODH786432:ODH786461 OND786432:OND786461 OWZ786432:OWZ786461 PGV786432:PGV786461 PQR786432:PQR786461 QAN786432:QAN786461 QKJ786432:QKJ786461 QUF786432:QUF786461 REB786432:REB786461 RNX786432:RNX786461 RXT786432:RXT786461 SHP786432:SHP786461 SRL786432:SRL786461 TBH786432:TBH786461 TLD786432:TLD786461 TUZ786432:TUZ786461 UEV786432:UEV786461 UOR786432:UOR786461 UYN786432:UYN786461 VIJ786432:VIJ786461 VSF786432:VSF786461 WCB786432:WCB786461 WLX786432:WLX786461 WVT786432:WVT786461 JH851968:JH851997 TD851968:TD851997 ACZ851968:ACZ851997 AMV851968:AMV851997 AWR851968:AWR851997 BGN851968:BGN851997 BQJ851968:BQJ851997 CAF851968:CAF851997 CKB851968:CKB851997 CTX851968:CTX851997 DDT851968:DDT851997 DNP851968:DNP851997 DXL851968:DXL851997 EHH851968:EHH851997 ERD851968:ERD851997 FAZ851968:FAZ851997 FKV851968:FKV851997 FUR851968:FUR851997 GEN851968:GEN851997 GOJ851968:GOJ851997 GYF851968:GYF851997 HIB851968:HIB851997 HRX851968:HRX851997 IBT851968:IBT851997 ILP851968:ILP851997 IVL851968:IVL851997 JFH851968:JFH851997 JPD851968:JPD851997 JYZ851968:JYZ851997 KIV851968:KIV851997 KSR851968:KSR851997 LCN851968:LCN851997 LMJ851968:LMJ851997 LWF851968:LWF851997 MGB851968:MGB851997 MPX851968:MPX851997 MZT851968:MZT851997 NJP851968:NJP851997 NTL851968:NTL851997 ODH851968:ODH851997 OND851968:OND851997 OWZ851968:OWZ851997 PGV851968:PGV851997 PQR851968:PQR851997 QAN851968:QAN851997 QKJ851968:QKJ851997 QUF851968:QUF851997 REB851968:REB851997 RNX851968:RNX851997 RXT851968:RXT851997 SHP851968:SHP851997 SRL851968:SRL851997 TBH851968:TBH851997 TLD851968:TLD851997 TUZ851968:TUZ851997 UEV851968:UEV851997 UOR851968:UOR851997 UYN851968:UYN851997 VIJ851968:VIJ851997 VSF851968:VSF851997 WCB851968:WCB851997 WLX851968:WLX851997 WVT851968:WVT851997 JH917504:JH917533 TD917504:TD917533 ACZ917504:ACZ917533 AMV917504:AMV917533 AWR917504:AWR917533 BGN917504:BGN917533 BQJ917504:BQJ917533 CAF917504:CAF917533 CKB917504:CKB917533 CTX917504:CTX917533 DDT917504:DDT917533 DNP917504:DNP917533 DXL917504:DXL917533 EHH917504:EHH917533 ERD917504:ERD917533 FAZ917504:FAZ917533 FKV917504:FKV917533 FUR917504:FUR917533 GEN917504:GEN917533 GOJ917504:GOJ917533 GYF917504:GYF917533 HIB917504:HIB917533 HRX917504:HRX917533 IBT917504:IBT917533 ILP917504:ILP917533 IVL917504:IVL917533 JFH917504:JFH917533 JPD917504:JPD917533 JYZ917504:JYZ917533 KIV917504:KIV917533 KSR917504:KSR917533 LCN917504:LCN917533 LMJ917504:LMJ917533 LWF917504:LWF917533 MGB917504:MGB917533 MPX917504:MPX917533 MZT917504:MZT917533 NJP917504:NJP917533 NTL917504:NTL917533 ODH917504:ODH917533 OND917504:OND917533 OWZ917504:OWZ917533 PGV917504:PGV917533 PQR917504:PQR917533 QAN917504:QAN917533 QKJ917504:QKJ917533 QUF917504:QUF917533 REB917504:REB917533 RNX917504:RNX917533 RXT917504:RXT917533 SHP917504:SHP917533 SRL917504:SRL917533 TBH917504:TBH917533 TLD917504:TLD917533 TUZ917504:TUZ917533 UEV917504:UEV917533 UOR917504:UOR917533 UYN917504:UYN917533 VIJ917504:VIJ917533 VSF917504:VSF917533 WCB917504:WCB917533 WLX917504:WLX917533 WVT917504:WVT917533 JH983040:JH983069 TD983040:TD983069 ACZ983040:ACZ983069 AMV983040:AMV983069 AWR983040:AWR983069 BGN983040:BGN983069 BQJ983040:BQJ983069 CAF983040:CAF983069 CKB983040:CKB983069 CTX983040:CTX983069 DDT983040:DDT983069 DNP983040:DNP983069 DXL983040:DXL983069 EHH983040:EHH983069 ERD983040:ERD983069 FAZ983040:FAZ983069 FKV983040:FKV983069 FUR983040:FUR983069 GEN983040:GEN983069 GOJ983040:GOJ983069 GYF983040:GYF983069 HIB983040:HIB983069 HRX983040:HRX983069 IBT983040:IBT983069 ILP983040:ILP983069 IVL983040:IVL983069 JFH983040:JFH983069 JPD983040:JPD983069 JYZ983040:JYZ983069 KIV983040:KIV983069 KSR983040:KSR983069 LCN983040:LCN983069 LMJ983040:LMJ983069 LWF983040:LWF983069 MGB983040:MGB983069 MPX983040:MPX983069 MZT983040:MZT983069 NJP983040:NJP983069 NTL983040:NTL983069 ODH983040:ODH983069 OND983040:OND983069 OWZ983040:OWZ983069 PGV983040:PGV983069 PQR983040:PQR983069 QAN983040:QAN983069 QKJ983040:QKJ983069 QUF983040:QUF983069 REB983040:REB983069 RNX983040:RNX983069 RXT983040:RXT983069 SHP983040:SHP983069 SRL983040:SRL983069 TBH983040:TBH983069 TLD983040:TLD983069 TUZ983040:TUZ983069 UEV983040:UEV983069 UOR983040:UOR983069 UYN983040:UYN983069 VIJ983040:VIJ983069 VSF983040:VSF983069 WCB983040:WCB983069 WLX983040:WLX983069 WVT983040:WVT983069 JD6:JD29 SZ6:SZ29 ACV6:ACV29 AMR6:AMR29 AWN6:AWN29 BGJ6:BGJ29 BQF6:BQF29 CAB6:CAB29 CJX6:CJX29 CTT6:CTT29 DDP6:DDP29 DNL6:DNL29 DXH6:DXH29 EHD6:EHD29 EQZ6:EQZ29 FAV6:FAV29 FKR6:FKR29 FUN6:FUN29 GEJ6:GEJ29 GOF6:GOF29 GYB6:GYB29 HHX6:HHX29 HRT6:HRT29 IBP6:IBP29 ILL6:ILL29 IVH6:IVH29 JFD6:JFD29 JOZ6:JOZ29 JYV6:JYV29 KIR6:KIR29 KSN6:KSN29 LCJ6:LCJ29 LMF6:LMF29 LWB6:LWB29 MFX6:MFX29 MPT6:MPT29 MZP6:MZP29 NJL6:NJL29 NTH6:NTH29 ODD6:ODD29 OMZ6:OMZ29 OWV6:OWV29 PGR6:PGR29 PQN6:PQN29 QAJ6:QAJ29 QKF6:QKF29 QUB6:QUB29 RDX6:RDX29 RNT6:RNT29 RXP6:RXP29 SHL6:SHL29 SRH6:SRH29 TBD6:TBD29 TKZ6:TKZ29 TUV6:TUV29 UER6:UER29 UON6:UON29 UYJ6:UYJ29 VIF6:VIF29 VSB6:VSB29 WBX6:WBX29 WLT6:WLT29 WVP6:WVP29" xr:uid="{83C497BE-C8D6-4AC4-BC4B-61BD16D3D6A2}">
      <formula1>"จันทราภรณ์, รัฏฏิการ์, คชเขม, มาร์ค,สมเด็"</formula1>
    </dataValidation>
    <dataValidation type="list" allowBlank="1" showInputMessage="1" showErrorMessage="1" sqref="WVU983040:WVU983069 JI65536:JI65565 TE65536:TE65565 ADA65536:ADA65565 AMW65536:AMW65565 AWS65536:AWS65565 BGO65536:BGO65565 BQK65536:BQK65565 CAG65536:CAG65565 CKC65536:CKC65565 CTY65536:CTY65565 DDU65536:DDU65565 DNQ65536:DNQ65565 DXM65536:DXM65565 EHI65536:EHI65565 ERE65536:ERE65565 FBA65536:FBA65565 FKW65536:FKW65565 FUS65536:FUS65565 GEO65536:GEO65565 GOK65536:GOK65565 GYG65536:GYG65565 HIC65536:HIC65565 HRY65536:HRY65565 IBU65536:IBU65565 ILQ65536:ILQ65565 IVM65536:IVM65565 JFI65536:JFI65565 JPE65536:JPE65565 JZA65536:JZA65565 KIW65536:KIW65565 KSS65536:KSS65565 LCO65536:LCO65565 LMK65536:LMK65565 LWG65536:LWG65565 MGC65536:MGC65565 MPY65536:MPY65565 MZU65536:MZU65565 NJQ65536:NJQ65565 NTM65536:NTM65565 ODI65536:ODI65565 ONE65536:ONE65565 OXA65536:OXA65565 PGW65536:PGW65565 PQS65536:PQS65565 QAO65536:QAO65565 QKK65536:QKK65565 QUG65536:QUG65565 REC65536:REC65565 RNY65536:RNY65565 RXU65536:RXU65565 SHQ65536:SHQ65565 SRM65536:SRM65565 TBI65536:TBI65565 TLE65536:TLE65565 TVA65536:TVA65565 UEW65536:UEW65565 UOS65536:UOS65565 UYO65536:UYO65565 VIK65536:VIK65565 VSG65536:VSG65565 WCC65536:WCC65565 WLY65536:WLY65565 WVU65536:WVU65565 JI131072:JI131101 TE131072:TE131101 ADA131072:ADA131101 AMW131072:AMW131101 AWS131072:AWS131101 BGO131072:BGO131101 BQK131072:BQK131101 CAG131072:CAG131101 CKC131072:CKC131101 CTY131072:CTY131101 DDU131072:DDU131101 DNQ131072:DNQ131101 DXM131072:DXM131101 EHI131072:EHI131101 ERE131072:ERE131101 FBA131072:FBA131101 FKW131072:FKW131101 FUS131072:FUS131101 GEO131072:GEO131101 GOK131072:GOK131101 GYG131072:GYG131101 HIC131072:HIC131101 HRY131072:HRY131101 IBU131072:IBU131101 ILQ131072:ILQ131101 IVM131072:IVM131101 JFI131072:JFI131101 JPE131072:JPE131101 JZA131072:JZA131101 KIW131072:KIW131101 KSS131072:KSS131101 LCO131072:LCO131101 LMK131072:LMK131101 LWG131072:LWG131101 MGC131072:MGC131101 MPY131072:MPY131101 MZU131072:MZU131101 NJQ131072:NJQ131101 NTM131072:NTM131101 ODI131072:ODI131101 ONE131072:ONE131101 OXA131072:OXA131101 PGW131072:PGW131101 PQS131072:PQS131101 QAO131072:QAO131101 QKK131072:QKK131101 QUG131072:QUG131101 REC131072:REC131101 RNY131072:RNY131101 RXU131072:RXU131101 SHQ131072:SHQ131101 SRM131072:SRM131101 TBI131072:TBI131101 TLE131072:TLE131101 TVA131072:TVA131101 UEW131072:UEW131101 UOS131072:UOS131101 UYO131072:UYO131101 VIK131072:VIK131101 VSG131072:VSG131101 WCC131072:WCC131101 WLY131072:WLY131101 WVU131072:WVU131101 JI196608:JI196637 TE196608:TE196637 ADA196608:ADA196637 AMW196608:AMW196637 AWS196608:AWS196637 BGO196608:BGO196637 BQK196608:BQK196637 CAG196608:CAG196637 CKC196608:CKC196637 CTY196608:CTY196637 DDU196608:DDU196637 DNQ196608:DNQ196637 DXM196608:DXM196637 EHI196608:EHI196637 ERE196608:ERE196637 FBA196608:FBA196637 FKW196608:FKW196637 FUS196608:FUS196637 GEO196608:GEO196637 GOK196608:GOK196637 GYG196608:GYG196637 HIC196608:HIC196637 HRY196608:HRY196637 IBU196608:IBU196637 ILQ196608:ILQ196637 IVM196608:IVM196637 JFI196608:JFI196637 JPE196608:JPE196637 JZA196608:JZA196637 KIW196608:KIW196637 KSS196608:KSS196637 LCO196608:LCO196637 LMK196608:LMK196637 LWG196608:LWG196637 MGC196608:MGC196637 MPY196608:MPY196637 MZU196608:MZU196637 NJQ196608:NJQ196637 NTM196608:NTM196637 ODI196608:ODI196637 ONE196608:ONE196637 OXA196608:OXA196637 PGW196608:PGW196637 PQS196608:PQS196637 QAO196608:QAO196637 QKK196608:QKK196637 QUG196608:QUG196637 REC196608:REC196637 RNY196608:RNY196637 RXU196608:RXU196637 SHQ196608:SHQ196637 SRM196608:SRM196637 TBI196608:TBI196637 TLE196608:TLE196637 TVA196608:TVA196637 UEW196608:UEW196637 UOS196608:UOS196637 UYO196608:UYO196637 VIK196608:VIK196637 VSG196608:VSG196637 WCC196608:WCC196637 WLY196608:WLY196637 WVU196608:WVU196637 JI262144:JI262173 TE262144:TE262173 ADA262144:ADA262173 AMW262144:AMW262173 AWS262144:AWS262173 BGO262144:BGO262173 BQK262144:BQK262173 CAG262144:CAG262173 CKC262144:CKC262173 CTY262144:CTY262173 DDU262144:DDU262173 DNQ262144:DNQ262173 DXM262144:DXM262173 EHI262144:EHI262173 ERE262144:ERE262173 FBA262144:FBA262173 FKW262144:FKW262173 FUS262144:FUS262173 GEO262144:GEO262173 GOK262144:GOK262173 GYG262144:GYG262173 HIC262144:HIC262173 HRY262144:HRY262173 IBU262144:IBU262173 ILQ262144:ILQ262173 IVM262144:IVM262173 JFI262144:JFI262173 JPE262144:JPE262173 JZA262144:JZA262173 KIW262144:KIW262173 KSS262144:KSS262173 LCO262144:LCO262173 LMK262144:LMK262173 LWG262144:LWG262173 MGC262144:MGC262173 MPY262144:MPY262173 MZU262144:MZU262173 NJQ262144:NJQ262173 NTM262144:NTM262173 ODI262144:ODI262173 ONE262144:ONE262173 OXA262144:OXA262173 PGW262144:PGW262173 PQS262144:PQS262173 QAO262144:QAO262173 QKK262144:QKK262173 QUG262144:QUG262173 REC262144:REC262173 RNY262144:RNY262173 RXU262144:RXU262173 SHQ262144:SHQ262173 SRM262144:SRM262173 TBI262144:TBI262173 TLE262144:TLE262173 TVA262144:TVA262173 UEW262144:UEW262173 UOS262144:UOS262173 UYO262144:UYO262173 VIK262144:VIK262173 VSG262144:VSG262173 WCC262144:WCC262173 WLY262144:WLY262173 WVU262144:WVU262173 JI327680:JI327709 TE327680:TE327709 ADA327680:ADA327709 AMW327680:AMW327709 AWS327680:AWS327709 BGO327680:BGO327709 BQK327680:BQK327709 CAG327680:CAG327709 CKC327680:CKC327709 CTY327680:CTY327709 DDU327680:DDU327709 DNQ327680:DNQ327709 DXM327680:DXM327709 EHI327680:EHI327709 ERE327680:ERE327709 FBA327680:FBA327709 FKW327680:FKW327709 FUS327680:FUS327709 GEO327680:GEO327709 GOK327680:GOK327709 GYG327680:GYG327709 HIC327680:HIC327709 HRY327680:HRY327709 IBU327680:IBU327709 ILQ327680:ILQ327709 IVM327680:IVM327709 JFI327680:JFI327709 JPE327680:JPE327709 JZA327680:JZA327709 KIW327680:KIW327709 KSS327680:KSS327709 LCO327680:LCO327709 LMK327680:LMK327709 LWG327680:LWG327709 MGC327680:MGC327709 MPY327680:MPY327709 MZU327680:MZU327709 NJQ327680:NJQ327709 NTM327680:NTM327709 ODI327680:ODI327709 ONE327680:ONE327709 OXA327680:OXA327709 PGW327680:PGW327709 PQS327680:PQS327709 QAO327680:QAO327709 QKK327680:QKK327709 QUG327680:QUG327709 REC327680:REC327709 RNY327680:RNY327709 RXU327680:RXU327709 SHQ327680:SHQ327709 SRM327680:SRM327709 TBI327680:TBI327709 TLE327680:TLE327709 TVA327680:TVA327709 UEW327680:UEW327709 UOS327680:UOS327709 UYO327680:UYO327709 VIK327680:VIK327709 VSG327680:VSG327709 WCC327680:WCC327709 WLY327680:WLY327709 WVU327680:WVU327709 JI393216:JI393245 TE393216:TE393245 ADA393216:ADA393245 AMW393216:AMW393245 AWS393216:AWS393245 BGO393216:BGO393245 BQK393216:BQK393245 CAG393216:CAG393245 CKC393216:CKC393245 CTY393216:CTY393245 DDU393216:DDU393245 DNQ393216:DNQ393245 DXM393216:DXM393245 EHI393216:EHI393245 ERE393216:ERE393245 FBA393216:FBA393245 FKW393216:FKW393245 FUS393216:FUS393245 GEO393216:GEO393245 GOK393216:GOK393245 GYG393216:GYG393245 HIC393216:HIC393245 HRY393216:HRY393245 IBU393216:IBU393245 ILQ393216:ILQ393245 IVM393216:IVM393245 JFI393216:JFI393245 JPE393216:JPE393245 JZA393216:JZA393245 KIW393216:KIW393245 KSS393216:KSS393245 LCO393216:LCO393245 LMK393216:LMK393245 LWG393216:LWG393245 MGC393216:MGC393245 MPY393216:MPY393245 MZU393216:MZU393245 NJQ393216:NJQ393245 NTM393216:NTM393245 ODI393216:ODI393245 ONE393216:ONE393245 OXA393216:OXA393245 PGW393216:PGW393245 PQS393216:PQS393245 QAO393216:QAO393245 QKK393216:QKK393245 QUG393216:QUG393245 REC393216:REC393245 RNY393216:RNY393245 RXU393216:RXU393245 SHQ393216:SHQ393245 SRM393216:SRM393245 TBI393216:TBI393245 TLE393216:TLE393245 TVA393216:TVA393245 UEW393216:UEW393245 UOS393216:UOS393245 UYO393216:UYO393245 VIK393216:VIK393245 VSG393216:VSG393245 WCC393216:WCC393245 WLY393216:WLY393245 WVU393216:WVU393245 JI458752:JI458781 TE458752:TE458781 ADA458752:ADA458781 AMW458752:AMW458781 AWS458752:AWS458781 BGO458752:BGO458781 BQK458752:BQK458781 CAG458752:CAG458781 CKC458752:CKC458781 CTY458752:CTY458781 DDU458752:DDU458781 DNQ458752:DNQ458781 DXM458752:DXM458781 EHI458752:EHI458781 ERE458752:ERE458781 FBA458752:FBA458781 FKW458752:FKW458781 FUS458752:FUS458781 GEO458752:GEO458781 GOK458752:GOK458781 GYG458752:GYG458781 HIC458752:HIC458781 HRY458752:HRY458781 IBU458752:IBU458781 ILQ458752:ILQ458781 IVM458752:IVM458781 JFI458752:JFI458781 JPE458752:JPE458781 JZA458752:JZA458781 KIW458752:KIW458781 KSS458752:KSS458781 LCO458752:LCO458781 LMK458752:LMK458781 LWG458752:LWG458781 MGC458752:MGC458781 MPY458752:MPY458781 MZU458752:MZU458781 NJQ458752:NJQ458781 NTM458752:NTM458781 ODI458752:ODI458781 ONE458752:ONE458781 OXA458752:OXA458781 PGW458752:PGW458781 PQS458752:PQS458781 QAO458752:QAO458781 QKK458752:QKK458781 QUG458752:QUG458781 REC458752:REC458781 RNY458752:RNY458781 RXU458752:RXU458781 SHQ458752:SHQ458781 SRM458752:SRM458781 TBI458752:TBI458781 TLE458752:TLE458781 TVA458752:TVA458781 UEW458752:UEW458781 UOS458752:UOS458781 UYO458752:UYO458781 VIK458752:VIK458781 VSG458752:VSG458781 WCC458752:WCC458781 WLY458752:WLY458781 WVU458752:WVU458781 JI524288:JI524317 TE524288:TE524317 ADA524288:ADA524317 AMW524288:AMW524317 AWS524288:AWS524317 BGO524288:BGO524317 BQK524288:BQK524317 CAG524288:CAG524317 CKC524288:CKC524317 CTY524288:CTY524317 DDU524288:DDU524317 DNQ524288:DNQ524317 DXM524288:DXM524317 EHI524288:EHI524317 ERE524288:ERE524317 FBA524288:FBA524317 FKW524288:FKW524317 FUS524288:FUS524317 GEO524288:GEO524317 GOK524288:GOK524317 GYG524288:GYG524317 HIC524288:HIC524317 HRY524288:HRY524317 IBU524288:IBU524317 ILQ524288:ILQ524317 IVM524288:IVM524317 JFI524288:JFI524317 JPE524288:JPE524317 JZA524288:JZA524317 KIW524288:KIW524317 KSS524288:KSS524317 LCO524288:LCO524317 LMK524288:LMK524317 LWG524288:LWG524317 MGC524288:MGC524317 MPY524288:MPY524317 MZU524288:MZU524317 NJQ524288:NJQ524317 NTM524288:NTM524317 ODI524288:ODI524317 ONE524288:ONE524317 OXA524288:OXA524317 PGW524288:PGW524317 PQS524288:PQS524317 QAO524288:QAO524317 QKK524288:QKK524317 QUG524288:QUG524317 REC524288:REC524317 RNY524288:RNY524317 RXU524288:RXU524317 SHQ524288:SHQ524317 SRM524288:SRM524317 TBI524288:TBI524317 TLE524288:TLE524317 TVA524288:TVA524317 UEW524288:UEW524317 UOS524288:UOS524317 UYO524288:UYO524317 VIK524288:VIK524317 VSG524288:VSG524317 WCC524288:WCC524317 WLY524288:WLY524317 WVU524288:WVU524317 JI589824:JI589853 TE589824:TE589853 ADA589824:ADA589853 AMW589824:AMW589853 AWS589824:AWS589853 BGO589824:BGO589853 BQK589824:BQK589853 CAG589824:CAG589853 CKC589824:CKC589853 CTY589824:CTY589853 DDU589824:DDU589853 DNQ589824:DNQ589853 DXM589824:DXM589853 EHI589824:EHI589853 ERE589824:ERE589853 FBA589824:FBA589853 FKW589824:FKW589853 FUS589824:FUS589853 GEO589824:GEO589853 GOK589824:GOK589853 GYG589824:GYG589853 HIC589824:HIC589853 HRY589824:HRY589853 IBU589824:IBU589853 ILQ589824:ILQ589853 IVM589824:IVM589853 JFI589824:JFI589853 JPE589824:JPE589853 JZA589824:JZA589853 KIW589824:KIW589853 KSS589824:KSS589853 LCO589824:LCO589853 LMK589824:LMK589853 LWG589824:LWG589853 MGC589824:MGC589853 MPY589824:MPY589853 MZU589824:MZU589853 NJQ589824:NJQ589853 NTM589824:NTM589853 ODI589824:ODI589853 ONE589824:ONE589853 OXA589824:OXA589853 PGW589824:PGW589853 PQS589824:PQS589853 QAO589824:QAO589853 QKK589824:QKK589853 QUG589824:QUG589853 REC589824:REC589853 RNY589824:RNY589853 RXU589824:RXU589853 SHQ589824:SHQ589853 SRM589824:SRM589853 TBI589824:TBI589853 TLE589824:TLE589853 TVA589824:TVA589853 UEW589824:UEW589853 UOS589824:UOS589853 UYO589824:UYO589853 VIK589824:VIK589853 VSG589824:VSG589853 WCC589824:WCC589853 WLY589824:WLY589853 WVU589824:WVU589853 JI655360:JI655389 TE655360:TE655389 ADA655360:ADA655389 AMW655360:AMW655389 AWS655360:AWS655389 BGO655360:BGO655389 BQK655360:BQK655389 CAG655360:CAG655389 CKC655360:CKC655389 CTY655360:CTY655389 DDU655360:DDU655389 DNQ655360:DNQ655389 DXM655360:DXM655389 EHI655360:EHI655389 ERE655360:ERE655389 FBA655360:FBA655389 FKW655360:FKW655389 FUS655360:FUS655389 GEO655360:GEO655389 GOK655360:GOK655389 GYG655360:GYG655389 HIC655360:HIC655389 HRY655360:HRY655389 IBU655360:IBU655389 ILQ655360:ILQ655389 IVM655360:IVM655389 JFI655360:JFI655389 JPE655360:JPE655389 JZA655360:JZA655389 KIW655360:KIW655389 KSS655360:KSS655389 LCO655360:LCO655389 LMK655360:LMK655389 LWG655360:LWG655389 MGC655360:MGC655389 MPY655360:MPY655389 MZU655360:MZU655389 NJQ655360:NJQ655389 NTM655360:NTM655389 ODI655360:ODI655389 ONE655360:ONE655389 OXA655360:OXA655389 PGW655360:PGW655389 PQS655360:PQS655389 QAO655360:QAO655389 QKK655360:QKK655389 QUG655360:QUG655389 REC655360:REC655389 RNY655360:RNY655389 RXU655360:RXU655389 SHQ655360:SHQ655389 SRM655360:SRM655389 TBI655360:TBI655389 TLE655360:TLE655389 TVA655360:TVA655389 UEW655360:UEW655389 UOS655360:UOS655389 UYO655360:UYO655389 VIK655360:VIK655389 VSG655360:VSG655389 WCC655360:WCC655389 WLY655360:WLY655389 WVU655360:WVU655389 JI720896:JI720925 TE720896:TE720925 ADA720896:ADA720925 AMW720896:AMW720925 AWS720896:AWS720925 BGO720896:BGO720925 BQK720896:BQK720925 CAG720896:CAG720925 CKC720896:CKC720925 CTY720896:CTY720925 DDU720896:DDU720925 DNQ720896:DNQ720925 DXM720896:DXM720925 EHI720896:EHI720925 ERE720896:ERE720925 FBA720896:FBA720925 FKW720896:FKW720925 FUS720896:FUS720925 GEO720896:GEO720925 GOK720896:GOK720925 GYG720896:GYG720925 HIC720896:HIC720925 HRY720896:HRY720925 IBU720896:IBU720925 ILQ720896:ILQ720925 IVM720896:IVM720925 JFI720896:JFI720925 JPE720896:JPE720925 JZA720896:JZA720925 KIW720896:KIW720925 KSS720896:KSS720925 LCO720896:LCO720925 LMK720896:LMK720925 LWG720896:LWG720925 MGC720896:MGC720925 MPY720896:MPY720925 MZU720896:MZU720925 NJQ720896:NJQ720925 NTM720896:NTM720925 ODI720896:ODI720925 ONE720896:ONE720925 OXA720896:OXA720925 PGW720896:PGW720925 PQS720896:PQS720925 QAO720896:QAO720925 QKK720896:QKK720925 QUG720896:QUG720925 REC720896:REC720925 RNY720896:RNY720925 RXU720896:RXU720925 SHQ720896:SHQ720925 SRM720896:SRM720925 TBI720896:TBI720925 TLE720896:TLE720925 TVA720896:TVA720925 UEW720896:UEW720925 UOS720896:UOS720925 UYO720896:UYO720925 VIK720896:VIK720925 VSG720896:VSG720925 WCC720896:WCC720925 WLY720896:WLY720925 WVU720896:WVU720925 JI786432:JI786461 TE786432:TE786461 ADA786432:ADA786461 AMW786432:AMW786461 AWS786432:AWS786461 BGO786432:BGO786461 BQK786432:BQK786461 CAG786432:CAG786461 CKC786432:CKC786461 CTY786432:CTY786461 DDU786432:DDU786461 DNQ786432:DNQ786461 DXM786432:DXM786461 EHI786432:EHI786461 ERE786432:ERE786461 FBA786432:FBA786461 FKW786432:FKW786461 FUS786432:FUS786461 GEO786432:GEO786461 GOK786432:GOK786461 GYG786432:GYG786461 HIC786432:HIC786461 HRY786432:HRY786461 IBU786432:IBU786461 ILQ786432:ILQ786461 IVM786432:IVM786461 JFI786432:JFI786461 JPE786432:JPE786461 JZA786432:JZA786461 KIW786432:KIW786461 KSS786432:KSS786461 LCO786432:LCO786461 LMK786432:LMK786461 LWG786432:LWG786461 MGC786432:MGC786461 MPY786432:MPY786461 MZU786432:MZU786461 NJQ786432:NJQ786461 NTM786432:NTM786461 ODI786432:ODI786461 ONE786432:ONE786461 OXA786432:OXA786461 PGW786432:PGW786461 PQS786432:PQS786461 QAO786432:QAO786461 QKK786432:QKK786461 QUG786432:QUG786461 REC786432:REC786461 RNY786432:RNY786461 RXU786432:RXU786461 SHQ786432:SHQ786461 SRM786432:SRM786461 TBI786432:TBI786461 TLE786432:TLE786461 TVA786432:TVA786461 UEW786432:UEW786461 UOS786432:UOS786461 UYO786432:UYO786461 VIK786432:VIK786461 VSG786432:VSG786461 WCC786432:WCC786461 WLY786432:WLY786461 WVU786432:WVU786461 JI851968:JI851997 TE851968:TE851997 ADA851968:ADA851997 AMW851968:AMW851997 AWS851968:AWS851997 BGO851968:BGO851997 BQK851968:BQK851997 CAG851968:CAG851997 CKC851968:CKC851997 CTY851968:CTY851997 DDU851968:DDU851997 DNQ851968:DNQ851997 DXM851968:DXM851997 EHI851968:EHI851997 ERE851968:ERE851997 FBA851968:FBA851997 FKW851968:FKW851997 FUS851968:FUS851997 GEO851968:GEO851997 GOK851968:GOK851997 GYG851968:GYG851997 HIC851968:HIC851997 HRY851968:HRY851997 IBU851968:IBU851997 ILQ851968:ILQ851997 IVM851968:IVM851997 JFI851968:JFI851997 JPE851968:JPE851997 JZA851968:JZA851997 KIW851968:KIW851997 KSS851968:KSS851997 LCO851968:LCO851997 LMK851968:LMK851997 LWG851968:LWG851997 MGC851968:MGC851997 MPY851968:MPY851997 MZU851968:MZU851997 NJQ851968:NJQ851997 NTM851968:NTM851997 ODI851968:ODI851997 ONE851968:ONE851997 OXA851968:OXA851997 PGW851968:PGW851997 PQS851968:PQS851997 QAO851968:QAO851997 QKK851968:QKK851997 QUG851968:QUG851997 REC851968:REC851997 RNY851968:RNY851997 RXU851968:RXU851997 SHQ851968:SHQ851997 SRM851968:SRM851997 TBI851968:TBI851997 TLE851968:TLE851997 TVA851968:TVA851997 UEW851968:UEW851997 UOS851968:UOS851997 UYO851968:UYO851997 VIK851968:VIK851997 VSG851968:VSG851997 WCC851968:WCC851997 WLY851968:WLY851997 WVU851968:WVU851997 JI917504:JI917533 TE917504:TE917533 ADA917504:ADA917533 AMW917504:AMW917533 AWS917504:AWS917533 BGO917504:BGO917533 BQK917504:BQK917533 CAG917504:CAG917533 CKC917504:CKC917533 CTY917504:CTY917533 DDU917504:DDU917533 DNQ917504:DNQ917533 DXM917504:DXM917533 EHI917504:EHI917533 ERE917504:ERE917533 FBA917504:FBA917533 FKW917504:FKW917533 FUS917504:FUS917533 GEO917504:GEO917533 GOK917504:GOK917533 GYG917504:GYG917533 HIC917504:HIC917533 HRY917504:HRY917533 IBU917504:IBU917533 ILQ917504:ILQ917533 IVM917504:IVM917533 JFI917504:JFI917533 JPE917504:JPE917533 JZA917504:JZA917533 KIW917504:KIW917533 KSS917504:KSS917533 LCO917504:LCO917533 LMK917504:LMK917533 LWG917504:LWG917533 MGC917504:MGC917533 MPY917504:MPY917533 MZU917504:MZU917533 NJQ917504:NJQ917533 NTM917504:NTM917533 ODI917504:ODI917533 ONE917504:ONE917533 OXA917504:OXA917533 PGW917504:PGW917533 PQS917504:PQS917533 QAO917504:QAO917533 QKK917504:QKK917533 QUG917504:QUG917533 REC917504:REC917533 RNY917504:RNY917533 RXU917504:RXU917533 SHQ917504:SHQ917533 SRM917504:SRM917533 TBI917504:TBI917533 TLE917504:TLE917533 TVA917504:TVA917533 UEW917504:UEW917533 UOS917504:UOS917533 UYO917504:UYO917533 VIK917504:VIK917533 VSG917504:VSG917533 WCC917504:WCC917533 WLY917504:WLY917533 WVU917504:WVU917533 JI983040:JI983069 TE983040:TE983069 ADA983040:ADA983069 AMW983040:AMW983069 AWS983040:AWS983069 BGO983040:BGO983069 BQK983040:BQK983069 CAG983040:CAG983069 CKC983040:CKC983069 CTY983040:CTY983069 DDU983040:DDU983069 DNQ983040:DNQ983069 DXM983040:DXM983069 EHI983040:EHI983069 ERE983040:ERE983069 FBA983040:FBA983069 FKW983040:FKW983069 FUS983040:FUS983069 GEO983040:GEO983069 GOK983040:GOK983069 GYG983040:GYG983069 HIC983040:HIC983069 HRY983040:HRY983069 IBU983040:IBU983069 ILQ983040:ILQ983069 IVM983040:IVM983069 JFI983040:JFI983069 JPE983040:JPE983069 JZA983040:JZA983069 KIW983040:KIW983069 KSS983040:KSS983069 LCO983040:LCO983069 LMK983040:LMK983069 LWG983040:LWG983069 MGC983040:MGC983069 MPY983040:MPY983069 MZU983040:MZU983069 NJQ983040:NJQ983069 NTM983040:NTM983069 ODI983040:ODI983069 ONE983040:ONE983069 OXA983040:OXA983069 PGW983040:PGW983069 PQS983040:PQS983069 QAO983040:QAO983069 QKK983040:QKK983069 QUG983040:QUG983069 REC983040:REC983069 RNY983040:RNY983069 RXU983040:RXU983069 SHQ983040:SHQ983069 SRM983040:SRM983069 TBI983040:TBI983069 TLE983040:TLE983069 TVA983040:TVA983069 UEW983040:UEW983069 UOS983040:UOS983069 UYO983040:UYO983069 VIK983040:VIK983069 VSG983040:VSG983069 WCC983040:WCC983069 WLY983040:WLY983069 S26 T25:T29 U25:U26 S28:S29 U28:U29 TA6:TA29 ACW6:ACW29 AMS6:AMS29 AWO6:AWO29 BGK6:BGK29 BQG6:BQG29 CAC6:CAC29 CJY6:CJY29 CTU6:CTU29 DDQ6:DDQ29 DNM6:DNM29 DXI6:DXI29 EHE6:EHE29 ERA6:ERA29 FAW6:FAW29 FKS6:FKS29 FUO6:FUO29 GEK6:GEK29 GOG6:GOG29 GYC6:GYC29 HHY6:HHY29 HRU6:HRU29 IBQ6:IBQ29 ILM6:ILM29 IVI6:IVI29 JFE6:JFE29 JPA6:JPA29 JYW6:JYW29 KIS6:KIS29 KSO6:KSO29 LCK6:LCK29 LMG6:LMG29 LWC6:LWC29 MFY6:MFY29 MPU6:MPU29 MZQ6:MZQ29 NJM6:NJM29 NTI6:NTI29 ODE6:ODE29 ONA6:ONA29 OWW6:OWW29 PGS6:PGS29 PQO6:PQO29 QAK6:QAK29 QKG6:QKG29 QUC6:QUC29 RDY6:RDY29 RNU6:RNU29 RXQ6:RXQ29 SHM6:SHM29 SRI6:SRI29 TBE6:TBE29 TLA6:TLA29 TUW6:TUW29 UES6:UES29 UOO6:UOO29 UYK6:UYK29 VIG6:VIG29 VSC6:VSC29 WBY6:WBY29 WLU6:WLU29 WVQ6:WVQ29 JE6:JE29" xr:uid="{CE7D59A6-5205-417F-AFDE-F860C4D4BFA3}">
      <formula1>"สมเด็จ, มานพ, นิคม, คลองเตย,"</formula1>
    </dataValidation>
    <dataValidation type="list" allowBlank="1" showInputMessage="1" showErrorMessage="1" sqref="WVC983036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32:B65532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A131068:B131068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A196604:B196604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A262140:B262140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A327676:B327676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A393212:B393212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A458748:B458748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A524284:B524284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A589820:B589820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A655356:B655356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A720892:B720892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A786428:B786428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A851964:B851964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A917500:B917500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A983036:B983036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15:M1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5CAC25B-5580-4F9A-835D-46D5288DD975}">
          <x14:formula1>
            <xm:f>Ref!$C$2:$C$20</xm:f>
          </x14:formula1>
          <xm:sqref>E6 E21 E18 E12 E24 E27 E9 E15</xm:sqref>
        </x14:dataValidation>
        <x14:dataValidation type="list" allowBlank="1" showInputMessage="1" showErrorMessage="1" xr:uid="{A4BCCE3B-5B14-4FDA-82E7-7220D14035D6}">
          <x14:formula1>
            <xm:f>Ref!$B$2:$B$21</xm:f>
          </x14:formula1>
          <xm:sqref>D6 D12 D9 D24 D21 D18 D15 D27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95"/>
  <sheetViews>
    <sheetView zoomScale="80" zoomScaleNormal="80" workbookViewId="0">
      <selection activeCell="I90" sqref="I90"/>
    </sheetView>
  </sheetViews>
  <sheetFormatPr defaultColWidth="0" defaultRowHeight="0" customHeight="1" zeroHeight="1"/>
  <cols>
    <col min="1" max="1" width="6.88671875" style="69" customWidth="1"/>
    <col min="2" max="2" width="20.77734375" style="69" customWidth="1"/>
    <col min="3" max="3" width="23.6640625" style="69" bestFit="1" customWidth="1"/>
    <col min="4" max="4" width="31.77734375" style="69" customWidth="1"/>
    <col min="5" max="5" width="16.109375" style="78" bestFit="1" customWidth="1"/>
    <col min="6" max="6" width="14.109375" style="78" customWidth="1"/>
    <col min="7" max="7" width="16.5546875" style="78" bestFit="1" customWidth="1"/>
    <col min="8" max="8" width="14.5546875" style="78" customWidth="1"/>
    <col min="9" max="9" width="15" style="78" customWidth="1"/>
    <col min="10" max="10" width="16.6640625" style="78" customWidth="1"/>
    <col min="11" max="11" width="17.88671875" style="69" bestFit="1" customWidth="1"/>
    <col min="12" max="12" width="11.77734375" style="69" customWidth="1"/>
    <col min="13" max="13" width="17.77734375" style="69" customWidth="1"/>
    <col min="14" max="16" width="8" style="69" customWidth="1"/>
    <col min="17" max="256" width="9.109375" style="69" hidden="1"/>
    <col min="257" max="257" width="6.88671875" style="69" customWidth="1"/>
    <col min="258" max="258" width="23.33203125" style="69" customWidth="1"/>
    <col min="259" max="259" width="42.88671875" style="69" customWidth="1"/>
    <col min="260" max="260" width="14" style="69" customWidth="1"/>
    <col min="261" max="261" width="14.109375" style="69" customWidth="1"/>
    <col min="262" max="262" width="13" style="69" customWidth="1"/>
    <col min="263" max="263" width="14" style="69" customWidth="1"/>
    <col min="264" max="264" width="15" style="69" customWidth="1"/>
    <col min="265" max="265" width="15.21875" style="69" customWidth="1"/>
    <col min="266" max="266" width="1.88671875" style="69" customWidth="1"/>
    <col min="267" max="267" width="10.5546875" style="69" customWidth="1"/>
    <col min="268" max="272" width="8" style="69" customWidth="1"/>
    <col min="273" max="512" width="9.109375" style="69" hidden="1"/>
    <col min="513" max="513" width="6.88671875" style="69" customWidth="1"/>
    <col min="514" max="514" width="23.33203125" style="69" customWidth="1"/>
    <col min="515" max="515" width="42.88671875" style="69" customWidth="1"/>
    <col min="516" max="516" width="14" style="69" customWidth="1"/>
    <col min="517" max="517" width="14.109375" style="69" customWidth="1"/>
    <col min="518" max="518" width="13" style="69" customWidth="1"/>
    <col min="519" max="519" width="14" style="69" customWidth="1"/>
    <col min="520" max="520" width="15" style="69" customWidth="1"/>
    <col min="521" max="521" width="15.21875" style="69" customWidth="1"/>
    <col min="522" max="522" width="1.88671875" style="69" customWidth="1"/>
    <col min="523" max="523" width="10.5546875" style="69" customWidth="1"/>
    <col min="524" max="528" width="8" style="69" customWidth="1"/>
    <col min="529" max="768" width="9.109375" style="69" hidden="1"/>
    <col min="769" max="769" width="6.88671875" style="69" customWidth="1"/>
    <col min="770" max="770" width="23.33203125" style="69" customWidth="1"/>
    <col min="771" max="771" width="42.88671875" style="69" customWidth="1"/>
    <col min="772" max="772" width="14" style="69" customWidth="1"/>
    <col min="773" max="773" width="14.109375" style="69" customWidth="1"/>
    <col min="774" max="774" width="13" style="69" customWidth="1"/>
    <col min="775" max="775" width="14" style="69" customWidth="1"/>
    <col min="776" max="776" width="15" style="69" customWidth="1"/>
    <col min="777" max="777" width="15.21875" style="69" customWidth="1"/>
    <col min="778" max="778" width="1.88671875" style="69" customWidth="1"/>
    <col min="779" max="779" width="10.5546875" style="69" customWidth="1"/>
    <col min="780" max="784" width="8" style="69" customWidth="1"/>
    <col min="785" max="1024" width="9.109375" style="69" hidden="1"/>
    <col min="1025" max="1025" width="6.88671875" style="69" customWidth="1"/>
    <col min="1026" max="1026" width="23.33203125" style="69" customWidth="1"/>
    <col min="1027" max="1027" width="42.88671875" style="69" customWidth="1"/>
    <col min="1028" max="1028" width="14" style="69" customWidth="1"/>
    <col min="1029" max="1029" width="14.109375" style="69" customWidth="1"/>
    <col min="1030" max="1030" width="13" style="69" customWidth="1"/>
    <col min="1031" max="1031" width="14" style="69" customWidth="1"/>
    <col min="1032" max="1032" width="15" style="69" customWidth="1"/>
    <col min="1033" max="1033" width="15.21875" style="69" customWidth="1"/>
    <col min="1034" max="1034" width="1.88671875" style="69" customWidth="1"/>
    <col min="1035" max="1035" width="10.5546875" style="69" customWidth="1"/>
    <col min="1036" max="1040" width="8" style="69" customWidth="1"/>
    <col min="1041" max="1280" width="9.109375" style="69" hidden="1"/>
    <col min="1281" max="1281" width="6.88671875" style="69" customWidth="1"/>
    <col min="1282" max="1282" width="23.33203125" style="69" customWidth="1"/>
    <col min="1283" max="1283" width="42.88671875" style="69" customWidth="1"/>
    <col min="1284" max="1284" width="14" style="69" customWidth="1"/>
    <col min="1285" max="1285" width="14.109375" style="69" customWidth="1"/>
    <col min="1286" max="1286" width="13" style="69" customWidth="1"/>
    <col min="1287" max="1287" width="14" style="69" customWidth="1"/>
    <col min="1288" max="1288" width="15" style="69" customWidth="1"/>
    <col min="1289" max="1289" width="15.21875" style="69" customWidth="1"/>
    <col min="1290" max="1290" width="1.88671875" style="69" customWidth="1"/>
    <col min="1291" max="1291" width="10.5546875" style="69" customWidth="1"/>
    <col min="1292" max="1296" width="8" style="69" customWidth="1"/>
    <col min="1297" max="1536" width="9.109375" style="69" hidden="1"/>
    <col min="1537" max="1537" width="6.88671875" style="69" customWidth="1"/>
    <col min="1538" max="1538" width="23.33203125" style="69" customWidth="1"/>
    <col min="1539" max="1539" width="42.88671875" style="69" customWidth="1"/>
    <col min="1540" max="1540" width="14" style="69" customWidth="1"/>
    <col min="1541" max="1541" width="14.109375" style="69" customWidth="1"/>
    <col min="1542" max="1542" width="13" style="69" customWidth="1"/>
    <col min="1543" max="1543" width="14" style="69" customWidth="1"/>
    <col min="1544" max="1544" width="15" style="69" customWidth="1"/>
    <col min="1545" max="1545" width="15.21875" style="69" customWidth="1"/>
    <col min="1546" max="1546" width="1.88671875" style="69" customWidth="1"/>
    <col min="1547" max="1547" width="10.5546875" style="69" customWidth="1"/>
    <col min="1548" max="1552" width="8" style="69" customWidth="1"/>
    <col min="1553" max="1792" width="9.109375" style="69" hidden="1"/>
    <col min="1793" max="1793" width="6.88671875" style="69" customWidth="1"/>
    <col min="1794" max="1794" width="23.33203125" style="69" customWidth="1"/>
    <col min="1795" max="1795" width="42.88671875" style="69" customWidth="1"/>
    <col min="1796" max="1796" width="14" style="69" customWidth="1"/>
    <col min="1797" max="1797" width="14.109375" style="69" customWidth="1"/>
    <col min="1798" max="1798" width="13" style="69" customWidth="1"/>
    <col min="1799" max="1799" width="14" style="69" customWidth="1"/>
    <col min="1800" max="1800" width="15" style="69" customWidth="1"/>
    <col min="1801" max="1801" width="15.21875" style="69" customWidth="1"/>
    <col min="1802" max="1802" width="1.88671875" style="69" customWidth="1"/>
    <col min="1803" max="1803" width="10.5546875" style="69" customWidth="1"/>
    <col min="1804" max="1808" width="8" style="69" customWidth="1"/>
    <col min="1809" max="2048" width="9.109375" style="69" hidden="1"/>
    <col min="2049" max="2049" width="6.88671875" style="69" customWidth="1"/>
    <col min="2050" max="2050" width="23.33203125" style="69" customWidth="1"/>
    <col min="2051" max="2051" width="42.88671875" style="69" customWidth="1"/>
    <col min="2052" max="2052" width="14" style="69" customWidth="1"/>
    <col min="2053" max="2053" width="14.109375" style="69" customWidth="1"/>
    <col min="2054" max="2054" width="13" style="69" customWidth="1"/>
    <col min="2055" max="2055" width="14" style="69" customWidth="1"/>
    <col min="2056" max="2056" width="15" style="69" customWidth="1"/>
    <col min="2057" max="2057" width="15.21875" style="69" customWidth="1"/>
    <col min="2058" max="2058" width="1.88671875" style="69" customWidth="1"/>
    <col min="2059" max="2059" width="10.5546875" style="69" customWidth="1"/>
    <col min="2060" max="2064" width="8" style="69" customWidth="1"/>
    <col min="2065" max="2304" width="9.109375" style="69" hidden="1"/>
    <col min="2305" max="2305" width="6.88671875" style="69" customWidth="1"/>
    <col min="2306" max="2306" width="23.33203125" style="69" customWidth="1"/>
    <col min="2307" max="2307" width="42.88671875" style="69" customWidth="1"/>
    <col min="2308" max="2308" width="14" style="69" customWidth="1"/>
    <col min="2309" max="2309" width="14.109375" style="69" customWidth="1"/>
    <col min="2310" max="2310" width="13" style="69" customWidth="1"/>
    <col min="2311" max="2311" width="14" style="69" customWidth="1"/>
    <col min="2312" max="2312" width="15" style="69" customWidth="1"/>
    <col min="2313" max="2313" width="15.21875" style="69" customWidth="1"/>
    <col min="2314" max="2314" width="1.88671875" style="69" customWidth="1"/>
    <col min="2315" max="2315" width="10.5546875" style="69" customWidth="1"/>
    <col min="2316" max="2320" width="8" style="69" customWidth="1"/>
    <col min="2321" max="2560" width="9.109375" style="69" hidden="1"/>
    <col min="2561" max="2561" width="6.88671875" style="69" customWidth="1"/>
    <col min="2562" max="2562" width="23.33203125" style="69" customWidth="1"/>
    <col min="2563" max="2563" width="42.88671875" style="69" customWidth="1"/>
    <col min="2564" max="2564" width="14" style="69" customWidth="1"/>
    <col min="2565" max="2565" width="14.109375" style="69" customWidth="1"/>
    <col min="2566" max="2566" width="13" style="69" customWidth="1"/>
    <col min="2567" max="2567" width="14" style="69" customWidth="1"/>
    <col min="2568" max="2568" width="15" style="69" customWidth="1"/>
    <col min="2569" max="2569" width="15.21875" style="69" customWidth="1"/>
    <col min="2570" max="2570" width="1.88671875" style="69" customWidth="1"/>
    <col min="2571" max="2571" width="10.5546875" style="69" customWidth="1"/>
    <col min="2572" max="2576" width="8" style="69" customWidth="1"/>
    <col min="2577" max="2816" width="9.109375" style="69" hidden="1"/>
    <col min="2817" max="2817" width="6.88671875" style="69" customWidth="1"/>
    <col min="2818" max="2818" width="23.33203125" style="69" customWidth="1"/>
    <col min="2819" max="2819" width="42.88671875" style="69" customWidth="1"/>
    <col min="2820" max="2820" width="14" style="69" customWidth="1"/>
    <col min="2821" max="2821" width="14.109375" style="69" customWidth="1"/>
    <col min="2822" max="2822" width="13" style="69" customWidth="1"/>
    <col min="2823" max="2823" width="14" style="69" customWidth="1"/>
    <col min="2824" max="2824" width="15" style="69" customWidth="1"/>
    <col min="2825" max="2825" width="15.21875" style="69" customWidth="1"/>
    <col min="2826" max="2826" width="1.88671875" style="69" customWidth="1"/>
    <col min="2827" max="2827" width="10.5546875" style="69" customWidth="1"/>
    <col min="2828" max="2832" width="8" style="69" customWidth="1"/>
    <col min="2833" max="3072" width="9.109375" style="69" hidden="1"/>
    <col min="3073" max="3073" width="6.88671875" style="69" customWidth="1"/>
    <col min="3074" max="3074" width="23.33203125" style="69" customWidth="1"/>
    <col min="3075" max="3075" width="42.88671875" style="69" customWidth="1"/>
    <col min="3076" max="3076" width="14" style="69" customWidth="1"/>
    <col min="3077" max="3077" width="14.109375" style="69" customWidth="1"/>
    <col min="3078" max="3078" width="13" style="69" customWidth="1"/>
    <col min="3079" max="3079" width="14" style="69" customWidth="1"/>
    <col min="3080" max="3080" width="15" style="69" customWidth="1"/>
    <col min="3081" max="3081" width="15.21875" style="69" customWidth="1"/>
    <col min="3082" max="3082" width="1.88671875" style="69" customWidth="1"/>
    <col min="3083" max="3083" width="10.5546875" style="69" customWidth="1"/>
    <col min="3084" max="3088" width="8" style="69" customWidth="1"/>
    <col min="3089" max="3328" width="9.109375" style="69" hidden="1"/>
    <col min="3329" max="3329" width="6.88671875" style="69" customWidth="1"/>
    <col min="3330" max="3330" width="23.33203125" style="69" customWidth="1"/>
    <col min="3331" max="3331" width="42.88671875" style="69" customWidth="1"/>
    <col min="3332" max="3332" width="14" style="69" customWidth="1"/>
    <col min="3333" max="3333" width="14.109375" style="69" customWidth="1"/>
    <col min="3334" max="3334" width="13" style="69" customWidth="1"/>
    <col min="3335" max="3335" width="14" style="69" customWidth="1"/>
    <col min="3336" max="3336" width="15" style="69" customWidth="1"/>
    <col min="3337" max="3337" width="15.21875" style="69" customWidth="1"/>
    <col min="3338" max="3338" width="1.88671875" style="69" customWidth="1"/>
    <col min="3339" max="3339" width="10.5546875" style="69" customWidth="1"/>
    <col min="3340" max="3344" width="8" style="69" customWidth="1"/>
    <col min="3345" max="3584" width="9.109375" style="69" hidden="1"/>
    <col min="3585" max="3585" width="6.88671875" style="69" customWidth="1"/>
    <col min="3586" max="3586" width="23.33203125" style="69" customWidth="1"/>
    <col min="3587" max="3587" width="42.88671875" style="69" customWidth="1"/>
    <col min="3588" max="3588" width="14" style="69" customWidth="1"/>
    <col min="3589" max="3589" width="14.109375" style="69" customWidth="1"/>
    <col min="3590" max="3590" width="13" style="69" customWidth="1"/>
    <col min="3591" max="3591" width="14" style="69" customWidth="1"/>
    <col min="3592" max="3592" width="15" style="69" customWidth="1"/>
    <col min="3593" max="3593" width="15.21875" style="69" customWidth="1"/>
    <col min="3594" max="3594" width="1.88671875" style="69" customWidth="1"/>
    <col min="3595" max="3595" width="10.5546875" style="69" customWidth="1"/>
    <col min="3596" max="3600" width="8" style="69" customWidth="1"/>
    <col min="3601" max="3840" width="9.109375" style="69" hidden="1"/>
    <col min="3841" max="3841" width="6.88671875" style="69" customWidth="1"/>
    <col min="3842" max="3842" width="23.33203125" style="69" customWidth="1"/>
    <col min="3843" max="3843" width="42.88671875" style="69" customWidth="1"/>
    <col min="3844" max="3844" width="14" style="69" customWidth="1"/>
    <col min="3845" max="3845" width="14.109375" style="69" customWidth="1"/>
    <col min="3846" max="3846" width="13" style="69" customWidth="1"/>
    <col min="3847" max="3847" width="14" style="69" customWidth="1"/>
    <col min="3848" max="3848" width="15" style="69" customWidth="1"/>
    <col min="3849" max="3849" width="15.21875" style="69" customWidth="1"/>
    <col min="3850" max="3850" width="1.88671875" style="69" customWidth="1"/>
    <col min="3851" max="3851" width="10.5546875" style="69" customWidth="1"/>
    <col min="3852" max="3856" width="8" style="69" customWidth="1"/>
    <col min="3857" max="4096" width="9.109375" style="69" hidden="1"/>
    <col min="4097" max="4097" width="6.88671875" style="69" customWidth="1"/>
    <col min="4098" max="4098" width="23.33203125" style="69" customWidth="1"/>
    <col min="4099" max="4099" width="42.88671875" style="69" customWidth="1"/>
    <col min="4100" max="4100" width="14" style="69" customWidth="1"/>
    <col min="4101" max="4101" width="14.109375" style="69" customWidth="1"/>
    <col min="4102" max="4102" width="13" style="69" customWidth="1"/>
    <col min="4103" max="4103" width="14" style="69" customWidth="1"/>
    <col min="4104" max="4104" width="15" style="69" customWidth="1"/>
    <col min="4105" max="4105" width="15.21875" style="69" customWidth="1"/>
    <col min="4106" max="4106" width="1.88671875" style="69" customWidth="1"/>
    <col min="4107" max="4107" width="10.5546875" style="69" customWidth="1"/>
    <col min="4108" max="4112" width="8" style="69" customWidth="1"/>
    <col min="4113" max="4352" width="9.109375" style="69" hidden="1"/>
    <col min="4353" max="4353" width="6.88671875" style="69" customWidth="1"/>
    <col min="4354" max="4354" width="23.33203125" style="69" customWidth="1"/>
    <col min="4355" max="4355" width="42.88671875" style="69" customWidth="1"/>
    <col min="4356" max="4356" width="14" style="69" customWidth="1"/>
    <col min="4357" max="4357" width="14.109375" style="69" customWidth="1"/>
    <col min="4358" max="4358" width="13" style="69" customWidth="1"/>
    <col min="4359" max="4359" width="14" style="69" customWidth="1"/>
    <col min="4360" max="4360" width="15" style="69" customWidth="1"/>
    <col min="4361" max="4361" width="15.21875" style="69" customWidth="1"/>
    <col min="4362" max="4362" width="1.88671875" style="69" customWidth="1"/>
    <col min="4363" max="4363" width="10.5546875" style="69" customWidth="1"/>
    <col min="4364" max="4368" width="8" style="69" customWidth="1"/>
    <col min="4369" max="4608" width="9.109375" style="69" hidden="1"/>
    <col min="4609" max="4609" width="6.88671875" style="69" customWidth="1"/>
    <col min="4610" max="4610" width="23.33203125" style="69" customWidth="1"/>
    <col min="4611" max="4611" width="42.88671875" style="69" customWidth="1"/>
    <col min="4612" max="4612" width="14" style="69" customWidth="1"/>
    <col min="4613" max="4613" width="14.109375" style="69" customWidth="1"/>
    <col min="4614" max="4614" width="13" style="69" customWidth="1"/>
    <col min="4615" max="4615" width="14" style="69" customWidth="1"/>
    <col min="4616" max="4616" width="15" style="69" customWidth="1"/>
    <col min="4617" max="4617" width="15.21875" style="69" customWidth="1"/>
    <col min="4618" max="4618" width="1.88671875" style="69" customWidth="1"/>
    <col min="4619" max="4619" width="10.5546875" style="69" customWidth="1"/>
    <col min="4620" max="4624" width="8" style="69" customWidth="1"/>
    <col min="4625" max="4864" width="9.109375" style="69" hidden="1"/>
    <col min="4865" max="4865" width="6.88671875" style="69" customWidth="1"/>
    <col min="4866" max="4866" width="23.33203125" style="69" customWidth="1"/>
    <col min="4867" max="4867" width="42.88671875" style="69" customWidth="1"/>
    <col min="4868" max="4868" width="14" style="69" customWidth="1"/>
    <col min="4869" max="4869" width="14.109375" style="69" customWidth="1"/>
    <col min="4870" max="4870" width="13" style="69" customWidth="1"/>
    <col min="4871" max="4871" width="14" style="69" customWidth="1"/>
    <col min="4872" max="4872" width="15" style="69" customWidth="1"/>
    <col min="4873" max="4873" width="15.21875" style="69" customWidth="1"/>
    <col min="4874" max="4874" width="1.88671875" style="69" customWidth="1"/>
    <col min="4875" max="4875" width="10.5546875" style="69" customWidth="1"/>
    <col min="4876" max="4880" width="8" style="69" customWidth="1"/>
    <col min="4881" max="5120" width="9.109375" style="69" hidden="1"/>
    <col min="5121" max="5121" width="6.88671875" style="69" customWidth="1"/>
    <col min="5122" max="5122" width="23.33203125" style="69" customWidth="1"/>
    <col min="5123" max="5123" width="42.88671875" style="69" customWidth="1"/>
    <col min="5124" max="5124" width="14" style="69" customWidth="1"/>
    <col min="5125" max="5125" width="14.109375" style="69" customWidth="1"/>
    <col min="5126" max="5126" width="13" style="69" customWidth="1"/>
    <col min="5127" max="5127" width="14" style="69" customWidth="1"/>
    <col min="5128" max="5128" width="15" style="69" customWidth="1"/>
    <col min="5129" max="5129" width="15.21875" style="69" customWidth="1"/>
    <col min="5130" max="5130" width="1.88671875" style="69" customWidth="1"/>
    <col min="5131" max="5131" width="10.5546875" style="69" customWidth="1"/>
    <col min="5132" max="5136" width="8" style="69" customWidth="1"/>
    <col min="5137" max="5376" width="9.109375" style="69" hidden="1"/>
    <col min="5377" max="5377" width="6.88671875" style="69" customWidth="1"/>
    <col min="5378" max="5378" width="23.33203125" style="69" customWidth="1"/>
    <col min="5379" max="5379" width="42.88671875" style="69" customWidth="1"/>
    <col min="5380" max="5380" width="14" style="69" customWidth="1"/>
    <col min="5381" max="5381" width="14.109375" style="69" customWidth="1"/>
    <col min="5382" max="5382" width="13" style="69" customWidth="1"/>
    <col min="5383" max="5383" width="14" style="69" customWidth="1"/>
    <col min="5384" max="5384" width="15" style="69" customWidth="1"/>
    <col min="5385" max="5385" width="15.21875" style="69" customWidth="1"/>
    <col min="5386" max="5386" width="1.88671875" style="69" customWidth="1"/>
    <col min="5387" max="5387" width="10.5546875" style="69" customWidth="1"/>
    <col min="5388" max="5392" width="8" style="69" customWidth="1"/>
    <col min="5393" max="5632" width="9.109375" style="69" hidden="1"/>
    <col min="5633" max="5633" width="6.88671875" style="69" customWidth="1"/>
    <col min="5634" max="5634" width="23.33203125" style="69" customWidth="1"/>
    <col min="5635" max="5635" width="42.88671875" style="69" customWidth="1"/>
    <col min="5636" max="5636" width="14" style="69" customWidth="1"/>
    <col min="5637" max="5637" width="14.109375" style="69" customWidth="1"/>
    <col min="5638" max="5638" width="13" style="69" customWidth="1"/>
    <col min="5639" max="5639" width="14" style="69" customWidth="1"/>
    <col min="5640" max="5640" width="15" style="69" customWidth="1"/>
    <col min="5641" max="5641" width="15.21875" style="69" customWidth="1"/>
    <col min="5642" max="5642" width="1.88671875" style="69" customWidth="1"/>
    <col min="5643" max="5643" width="10.5546875" style="69" customWidth="1"/>
    <col min="5644" max="5648" width="8" style="69" customWidth="1"/>
    <col min="5649" max="5888" width="9.109375" style="69" hidden="1"/>
    <col min="5889" max="5889" width="6.88671875" style="69" customWidth="1"/>
    <col min="5890" max="5890" width="23.33203125" style="69" customWidth="1"/>
    <col min="5891" max="5891" width="42.88671875" style="69" customWidth="1"/>
    <col min="5892" max="5892" width="14" style="69" customWidth="1"/>
    <col min="5893" max="5893" width="14.109375" style="69" customWidth="1"/>
    <col min="5894" max="5894" width="13" style="69" customWidth="1"/>
    <col min="5895" max="5895" width="14" style="69" customWidth="1"/>
    <col min="5896" max="5896" width="15" style="69" customWidth="1"/>
    <col min="5897" max="5897" width="15.21875" style="69" customWidth="1"/>
    <col min="5898" max="5898" width="1.88671875" style="69" customWidth="1"/>
    <col min="5899" max="5899" width="10.5546875" style="69" customWidth="1"/>
    <col min="5900" max="5904" width="8" style="69" customWidth="1"/>
    <col min="5905" max="6144" width="9.109375" style="69" hidden="1"/>
    <col min="6145" max="6145" width="6.88671875" style="69" customWidth="1"/>
    <col min="6146" max="6146" width="23.33203125" style="69" customWidth="1"/>
    <col min="6147" max="6147" width="42.88671875" style="69" customWidth="1"/>
    <col min="6148" max="6148" width="14" style="69" customWidth="1"/>
    <col min="6149" max="6149" width="14.109375" style="69" customWidth="1"/>
    <col min="6150" max="6150" width="13" style="69" customWidth="1"/>
    <col min="6151" max="6151" width="14" style="69" customWidth="1"/>
    <col min="6152" max="6152" width="15" style="69" customWidth="1"/>
    <col min="6153" max="6153" width="15.21875" style="69" customWidth="1"/>
    <col min="6154" max="6154" width="1.88671875" style="69" customWidth="1"/>
    <col min="6155" max="6155" width="10.5546875" style="69" customWidth="1"/>
    <col min="6156" max="6160" width="8" style="69" customWidth="1"/>
    <col min="6161" max="6400" width="9.109375" style="69" hidden="1"/>
    <col min="6401" max="6401" width="6.88671875" style="69" customWidth="1"/>
    <col min="6402" max="6402" width="23.33203125" style="69" customWidth="1"/>
    <col min="6403" max="6403" width="42.88671875" style="69" customWidth="1"/>
    <col min="6404" max="6404" width="14" style="69" customWidth="1"/>
    <col min="6405" max="6405" width="14.109375" style="69" customWidth="1"/>
    <col min="6406" max="6406" width="13" style="69" customWidth="1"/>
    <col min="6407" max="6407" width="14" style="69" customWidth="1"/>
    <col min="6408" max="6408" width="15" style="69" customWidth="1"/>
    <col min="6409" max="6409" width="15.21875" style="69" customWidth="1"/>
    <col min="6410" max="6410" width="1.88671875" style="69" customWidth="1"/>
    <col min="6411" max="6411" width="10.5546875" style="69" customWidth="1"/>
    <col min="6412" max="6416" width="8" style="69" customWidth="1"/>
    <col min="6417" max="6656" width="9.109375" style="69" hidden="1"/>
    <col min="6657" max="6657" width="6.88671875" style="69" customWidth="1"/>
    <col min="6658" max="6658" width="23.33203125" style="69" customWidth="1"/>
    <col min="6659" max="6659" width="42.88671875" style="69" customWidth="1"/>
    <col min="6660" max="6660" width="14" style="69" customWidth="1"/>
    <col min="6661" max="6661" width="14.109375" style="69" customWidth="1"/>
    <col min="6662" max="6662" width="13" style="69" customWidth="1"/>
    <col min="6663" max="6663" width="14" style="69" customWidth="1"/>
    <col min="6664" max="6664" width="15" style="69" customWidth="1"/>
    <col min="6665" max="6665" width="15.21875" style="69" customWidth="1"/>
    <col min="6666" max="6666" width="1.88671875" style="69" customWidth="1"/>
    <col min="6667" max="6667" width="10.5546875" style="69" customWidth="1"/>
    <col min="6668" max="6672" width="8" style="69" customWidth="1"/>
    <col min="6673" max="6912" width="9.109375" style="69" hidden="1"/>
    <col min="6913" max="6913" width="6.88671875" style="69" customWidth="1"/>
    <col min="6914" max="6914" width="23.33203125" style="69" customWidth="1"/>
    <col min="6915" max="6915" width="42.88671875" style="69" customWidth="1"/>
    <col min="6916" max="6916" width="14" style="69" customWidth="1"/>
    <col min="6917" max="6917" width="14.109375" style="69" customWidth="1"/>
    <col min="6918" max="6918" width="13" style="69" customWidth="1"/>
    <col min="6919" max="6919" width="14" style="69" customWidth="1"/>
    <col min="6920" max="6920" width="15" style="69" customWidth="1"/>
    <col min="6921" max="6921" width="15.21875" style="69" customWidth="1"/>
    <col min="6922" max="6922" width="1.88671875" style="69" customWidth="1"/>
    <col min="6923" max="6923" width="10.5546875" style="69" customWidth="1"/>
    <col min="6924" max="6928" width="8" style="69" customWidth="1"/>
    <col min="6929" max="7168" width="9.109375" style="69" hidden="1"/>
    <col min="7169" max="7169" width="6.88671875" style="69" customWidth="1"/>
    <col min="7170" max="7170" width="23.33203125" style="69" customWidth="1"/>
    <col min="7171" max="7171" width="42.88671875" style="69" customWidth="1"/>
    <col min="7172" max="7172" width="14" style="69" customWidth="1"/>
    <col min="7173" max="7173" width="14.109375" style="69" customWidth="1"/>
    <col min="7174" max="7174" width="13" style="69" customWidth="1"/>
    <col min="7175" max="7175" width="14" style="69" customWidth="1"/>
    <col min="7176" max="7176" width="15" style="69" customWidth="1"/>
    <col min="7177" max="7177" width="15.21875" style="69" customWidth="1"/>
    <col min="7178" max="7178" width="1.88671875" style="69" customWidth="1"/>
    <col min="7179" max="7179" width="10.5546875" style="69" customWidth="1"/>
    <col min="7180" max="7184" width="8" style="69" customWidth="1"/>
    <col min="7185" max="7424" width="9.109375" style="69" hidden="1"/>
    <col min="7425" max="7425" width="6.88671875" style="69" customWidth="1"/>
    <col min="7426" max="7426" width="23.33203125" style="69" customWidth="1"/>
    <col min="7427" max="7427" width="42.88671875" style="69" customWidth="1"/>
    <col min="7428" max="7428" width="14" style="69" customWidth="1"/>
    <col min="7429" max="7429" width="14.109375" style="69" customWidth="1"/>
    <col min="7430" max="7430" width="13" style="69" customWidth="1"/>
    <col min="7431" max="7431" width="14" style="69" customWidth="1"/>
    <col min="7432" max="7432" width="15" style="69" customWidth="1"/>
    <col min="7433" max="7433" width="15.21875" style="69" customWidth="1"/>
    <col min="7434" max="7434" width="1.88671875" style="69" customWidth="1"/>
    <col min="7435" max="7435" width="10.5546875" style="69" customWidth="1"/>
    <col min="7436" max="7440" width="8" style="69" customWidth="1"/>
    <col min="7441" max="7680" width="9.109375" style="69" hidden="1"/>
    <col min="7681" max="7681" width="6.88671875" style="69" customWidth="1"/>
    <col min="7682" max="7682" width="23.33203125" style="69" customWidth="1"/>
    <col min="7683" max="7683" width="42.88671875" style="69" customWidth="1"/>
    <col min="7684" max="7684" width="14" style="69" customWidth="1"/>
    <col min="7685" max="7685" width="14.109375" style="69" customWidth="1"/>
    <col min="7686" max="7686" width="13" style="69" customWidth="1"/>
    <col min="7687" max="7687" width="14" style="69" customWidth="1"/>
    <col min="7688" max="7688" width="15" style="69" customWidth="1"/>
    <col min="7689" max="7689" width="15.21875" style="69" customWidth="1"/>
    <col min="7690" max="7690" width="1.88671875" style="69" customWidth="1"/>
    <col min="7691" max="7691" width="10.5546875" style="69" customWidth="1"/>
    <col min="7692" max="7696" width="8" style="69" customWidth="1"/>
    <col min="7697" max="7936" width="9.109375" style="69" hidden="1"/>
    <col min="7937" max="7937" width="6.88671875" style="69" customWidth="1"/>
    <col min="7938" max="7938" width="23.33203125" style="69" customWidth="1"/>
    <col min="7939" max="7939" width="42.88671875" style="69" customWidth="1"/>
    <col min="7940" max="7940" width="14" style="69" customWidth="1"/>
    <col min="7941" max="7941" width="14.109375" style="69" customWidth="1"/>
    <col min="7942" max="7942" width="13" style="69" customWidth="1"/>
    <col min="7943" max="7943" width="14" style="69" customWidth="1"/>
    <col min="7944" max="7944" width="15" style="69" customWidth="1"/>
    <col min="7945" max="7945" width="15.21875" style="69" customWidth="1"/>
    <col min="7946" max="7946" width="1.88671875" style="69" customWidth="1"/>
    <col min="7947" max="7947" width="10.5546875" style="69" customWidth="1"/>
    <col min="7948" max="7952" width="8" style="69" customWidth="1"/>
    <col min="7953" max="8192" width="9.109375" style="69" hidden="1"/>
    <col min="8193" max="8193" width="6.88671875" style="69" customWidth="1"/>
    <col min="8194" max="8194" width="23.33203125" style="69" customWidth="1"/>
    <col min="8195" max="8195" width="42.88671875" style="69" customWidth="1"/>
    <col min="8196" max="8196" width="14" style="69" customWidth="1"/>
    <col min="8197" max="8197" width="14.109375" style="69" customWidth="1"/>
    <col min="8198" max="8198" width="13" style="69" customWidth="1"/>
    <col min="8199" max="8199" width="14" style="69" customWidth="1"/>
    <col min="8200" max="8200" width="15" style="69" customWidth="1"/>
    <col min="8201" max="8201" width="15.21875" style="69" customWidth="1"/>
    <col min="8202" max="8202" width="1.88671875" style="69" customWidth="1"/>
    <col min="8203" max="8203" width="10.5546875" style="69" customWidth="1"/>
    <col min="8204" max="8208" width="8" style="69" customWidth="1"/>
    <col min="8209" max="8448" width="9.109375" style="69" hidden="1"/>
    <col min="8449" max="8449" width="6.88671875" style="69" customWidth="1"/>
    <col min="8450" max="8450" width="23.33203125" style="69" customWidth="1"/>
    <col min="8451" max="8451" width="42.88671875" style="69" customWidth="1"/>
    <col min="8452" max="8452" width="14" style="69" customWidth="1"/>
    <col min="8453" max="8453" width="14.109375" style="69" customWidth="1"/>
    <col min="8454" max="8454" width="13" style="69" customWidth="1"/>
    <col min="8455" max="8455" width="14" style="69" customWidth="1"/>
    <col min="8456" max="8456" width="15" style="69" customWidth="1"/>
    <col min="8457" max="8457" width="15.21875" style="69" customWidth="1"/>
    <col min="8458" max="8458" width="1.88671875" style="69" customWidth="1"/>
    <col min="8459" max="8459" width="10.5546875" style="69" customWidth="1"/>
    <col min="8460" max="8464" width="8" style="69" customWidth="1"/>
    <col min="8465" max="8704" width="9.109375" style="69" hidden="1"/>
    <col min="8705" max="8705" width="6.88671875" style="69" customWidth="1"/>
    <col min="8706" max="8706" width="23.33203125" style="69" customWidth="1"/>
    <col min="8707" max="8707" width="42.88671875" style="69" customWidth="1"/>
    <col min="8708" max="8708" width="14" style="69" customWidth="1"/>
    <col min="8709" max="8709" width="14.109375" style="69" customWidth="1"/>
    <col min="8710" max="8710" width="13" style="69" customWidth="1"/>
    <col min="8711" max="8711" width="14" style="69" customWidth="1"/>
    <col min="8712" max="8712" width="15" style="69" customWidth="1"/>
    <col min="8713" max="8713" width="15.21875" style="69" customWidth="1"/>
    <col min="8714" max="8714" width="1.88671875" style="69" customWidth="1"/>
    <col min="8715" max="8715" width="10.5546875" style="69" customWidth="1"/>
    <col min="8716" max="8720" width="8" style="69" customWidth="1"/>
    <col min="8721" max="8960" width="9.109375" style="69" hidden="1"/>
    <col min="8961" max="8961" width="6.88671875" style="69" customWidth="1"/>
    <col min="8962" max="8962" width="23.33203125" style="69" customWidth="1"/>
    <col min="8963" max="8963" width="42.88671875" style="69" customWidth="1"/>
    <col min="8964" max="8964" width="14" style="69" customWidth="1"/>
    <col min="8965" max="8965" width="14.109375" style="69" customWidth="1"/>
    <col min="8966" max="8966" width="13" style="69" customWidth="1"/>
    <col min="8967" max="8967" width="14" style="69" customWidth="1"/>
    <col min="8968" max="8968" width="15" style="69" customWidth="1"/>
    <col min="8969" max="8969" width="15.21875" style="69" customWidth="1"/>
    <col min="8970" max="8970" width="1.88671875" style="69" customWidth="1"/>
    <col min="8971" max="8971" width="10.5546875" style="69" customWidth="1"/>
    <col min="8972" max="8976" width="8" style="69" customWidth="1"/>
    <col min="8977" max="9216" width="9.109375" style="69" hidden="1"/>
    <col min="9217" max="9217" width="6.88671875" style="69" customWidth="1"/>
    <col min="9218" max="9218" width="23.33203125" style="69" customWidth="1"/>
    <col min="9219" max="9219" width="42.88671875" style="69" customWidth="1"/>
    <col min="9220" max="9220" width="14" style="69" customWidth="1"/>
    <col min="9221" max="9221" width="14.109375" style="69" customWidth="1"/>
    <col min="9222" max="9222" width="13" style="69" customWidth="1"/>
    <col min="9223" max="9223" width="14" style="69" customWidth="1"/>
    <col min="9224" max="9224" width="15" style="69" customWidth="1"/>
    <col min="9225" max="9225" width="15.21875" style="69" customWidth="1"/>
    <col min="9226" max="9226" width="1.88671875" style="69" customWidth="1"/>
    <col min="9227" max="9227" width="10.5546875" style="69" customWidth="1"/>
    <col min="9228" max="9232" width="8" style="69" customWidth="1"/>
    <col min="9233" max="9472" width="9.109375" style="69" hidden="1"/>
    <col min="9473" max="9473" width="6.88671875" style="69" customWidth="1"/>
    <col min="9474" max="9474" width="23.33203125" style="69" customWidth="1"/>
    <col min="9475" max="9475" width="42.88671875" style="69" customWidth="1"/>
    <col min="9476" max="9476" width="14" style="69" customWidth="1"/>
    <col min="9477" max="9477" width="14.109375" style="69" customWidth="1"/>
    <col min="9478" max="9478" width="13" style="69" customWidth="1"/>
    <col min="9479" max="9479" width="14" style="69" customWidth="1"/>
    <col min="9480" max="9480" width="15" style="69" customWidth="1"/>
    <col min="9481" max="9481" width="15.21875" style="69" customWidth="1"/>
    <col min="9482" max="9482" width="1.88671875" style="69" customWidth="1"/>
    <col min="9483" max="9483" width="10.5546875" style="69" customWidth="1"/>
    <col min="9484" max="9488" width="8" style="69" customWidth="1"/>
    <col min="9489" max="9728" width="9.109375" style="69" hidden="1"/>
    <col min="9729" max="9729" width="6.88671875" style="69" customWidth="1"/>
    <col min="9730" max="9730" width="23.33203125" style="69" customWidth="1"/>
    <col min="9731" max="9731" width="42.88671875" style="69" customWidth="1"/>
    <col min="9732" max="9732" width="14" style="69" customWidth="1"/>
    <col min="9733" max="9733" width="14.109375" style="69" customWidth="1"/>
    <col min="9734" max="9734" width="13" style="69" customWidth="1"/>
    <col min="9735" max="9735" width="14" style="69" customWidth="1"/>
    <col min="9736" max="9736" width="15" style="69" customWidth="1"/>
    <col min="9737" max="9737" width="15.21875" style="69" customWidth="1"/>
    <col min="9738" max="9738" width="1.88671875" style="69" customWidth="1"/>
    <col min="9739" max="9739" width="10.5546875" style="69" customWidth="1"/>
    <col min="9740" max="9744" width="8" style="69" customWidth="1"/>
    <col min="9745" max="9984" width="9.109375" style="69" hidden="1"/>
    <col min="9985" max="9985" width="6.88671875" style="69" customWidth="1"/>
    <col min="9986" max="9986" width="23.33203125" style="69" customWidth="1"/>
    <col min="9987" max="9987" width="42.88671875" style="69" customWidth="1"/>
    <col min="9988" max="9988" width="14" style="69" customWidth="1"/>
    <col min="9989" max="9989" width="14.109375" style="69" customWidth="1"/>
    <col min="9990" max="9990" width="13" style="69" customWidth="1"/>
    <col min="9991" max="9991" width="14" style="69" customWidth="1"/>
    <col min="9992" max="9992" width="15" style="69" customWidth="1"/>
    <col min="9993" max="9993" width="15.21875" style="69" customWidth="1"/>
    <col min="9994" max="9994" width="1.88671875" style="69" customWidth="1"/>
    <col min="9995" max="9995" width="10.5546875" style="69" customWidth="1"/>
    <col min="9996" max="10000" width="8" style="69" customWidth="1"/>
    <col min="10001" max="10240" width="9.109375" style="69" hidden="1"/>
    <col min="10241" max="10241" width="6.88671875" style="69" customWidth="1"/>
    <col min="10242" max="10242" width="23.33203125" style="69" customWidth="1"/>
    <col min="10243" max="10243" width="42.88671875" style="69" customWidth="1"/>
    <col min="10244" max="10244" width="14" style="69" customWidth="1"/>
    <col min="10245" max="10245" width="14.109375" style="69" customWidth="1"/>
    <col min="10246" max="10246" width="13" style="69" customWidth="1"/>
    <col min="10247" max="10247" width="14" style="69" customWidth="1"/>
    <col min="10248" max="10248" width="15" style="69" customWidth="1"/>
    <col min="10249" max="10249" width="15.21875" style="69" customWidth="1"/>
    <col min="10250" max="10250" width="1.88671875" style="69" customWidth="1"/>
    <col min="10251" max="10251" width="10.5546875" style="69" customWidth="1"/>
    <col min="10252" max="10256" width="8" style="69" customWidth="1"/>
    <col min="10257" max="10496" width="9.109375" style="69" hidden="1"/>
    <col min="10497" max="10497" width="6.88671875" style="69" customWidth="1"/>
    <col min="10498" max="10498" width="23.33203125" style="69" customWidth="1"/>
    <col min="10499" max="10499" width="42.88671875" style="69" customWidth="1"/>
    <col min="10500" max="10500" width="14" style="69" customWidth="1"/>
    <col min="10501" max="10501" width="14.109375" style="69" customWidth="1"/>
    <col min="10502" max="10502" width="13" style="69" customWidth="1"/>
    <col min="10503" max="10503" width="14" style="69" customWidth="1"/>
    <col min="10504" max="10504" width="15" style="69" customWidth="1"/>
    <col min="10505" max="10505" width="15.21875" style="69" customWidth="1"/>
    <col min="10506" max="10506" width="1.88671875" style="69" customWidth="1"/>
    <col min="10507" max="10507" width="10.5546875" style="69" customWidth="1"/>
    <col min="10508" max="10512" width="8" style="69" customWidth="1"/>
    <col min="10513" max="10752" width="9.109375" style="69" hidden="1"/>
    <col min="10753" max="10753" width="6.88671875" style="69" customWidth="1"/>
    <col min="10754" max="10754" width="23.33203125" style="69" customWidth="1"/>
    <col min="10755" max="10755" width="42.88671875" style="69" customWidth="1"/>
    <col min="10756" max="10756" width="14" style="69" customWidth="1"/>
    <col min="10757" max="10757" width="14.109375" style="69" customWidth="1"/>
    <col min="10758" max="10758" width="13" style="69" customWidth="1"/>
    <col min="10759" max="10759" width="14" style="69" customWidth="1"/>
    <col min="10760" max="10760" width="15" style="69" customWidth="1"/>
    <col min="10761" max="10761" width="15.21875" style="69" customWidth="1"/>
    <col min="10762" max="10762" width="1.88671875" style="69" customWidth="1"/>
    <col min="10763" max="10763" width="10.5546875" style="69" customWidth="1"/>
    <col min="10764" max="10768" width="8" style="69" customWidth="1"/>
    <col min="10769" max="11008" width="9.109375" style="69" hidden="1"/>
    <col min="11009" max="11009" width="6.88671875" style="69" customWidth="1"/>
    <col min="11010" max="11010" width="23.33203125" style="69" customWidth="1"/>
    <col min="11011" max="11011" width="42.88671875" style="69" customWidth="1"/>
    <col min="11012" max="11012" width="14" style="69" customWidth="1"/>
    <col min="11013" max="11013" width="14.109375" style="69" customWidth="1"/>
    <col min="11014" max="11014" width="13" style="69" customWidth="1"/>
    <col min="11015" max="11015" width="14" style="69" customWidth="1"/>
    <col min="11016" max="11016" width="15" style="69" customWidth="1"/>
    <col min="11017" max="11017" width="15.21875" style="69" customWidth="1"/>
    <col min="11018" max="11018" width="1.88671875" style="69" customWidth="1"/>
    <col min="11019" max="11019" width="10.5546875" style="69" customWidth="1"/>
    <col min="11020" max="11024" width="8" style="69" customWidth="1"/>
    <col min="11025" max="11264" width="9.109375" style="69" hidden="1"/>
    <col min="11265" max="11265" width="6.88671875" style="69" customWidth="1"/>
    <col min="11266" max="11266" width="23.33203125" style="69" customWidth="1"/>
    <col min="11267" max="11267" width="42.88671875" style="69" customWidth="1"/>
    <col min="11268" max="11268" width="14" style="69" customWidth="1"/>
    <col min="11269" max="11269" width="14.109375" style="69" customWidth="1"/>
    <col min="11270" max="11270" width="13" style="69" customWidth="1"/>
    <col min="11271" max="11271" width="14" style="69" customWidth="1"/>
    <col min="11272" max="11272" width="15" style="69" customWidth="1"/>
    <col min="11273" max="11273" width="15.21875" style="69" customWidth="1"/>
    <col min="11274" max="11274" width="1.88671875" style="69" customWidth="1"/>
    <col min="11275" max="11275" width="10.5546875" style="69" customWidth="1"/>
    <col min="11276" max="11280" width="8" style="69" customWidth="1"/>
    <col min="11281" max="11520" width="9.109375" style="69" hidden="1"/>
    <col min="11521" max="11521" width="6.88671875" style="69" customWidth="1"/>
    <col min="11522" max="11522" width="23.33203125" style="69" customWidth="1"/>
    <col min="11523" max="11523" width="42.88671875" style="69" customWidth="1"/>
    <col min="11524" max="11524" width="14" style="69" customWidth="1"/>
    <col min="11525" max="11525" width="14.109375" style="69" customWidth="1"/>
    <col min="11526" max="11526" width="13" style="69" customWidth="1"/>
    <col min="11527" max="11527" width="14" style="69" customWidth="1"/>
    <col min="11528" max="11528" width="15" style="69" customWidth="1"/>
    <col min="11529" max="11529" width="15.21875" style="69" customWidth="1"/>
    <col min="11530" max="11530" width="1.88671875" style="69" customWidth="1"/>
    <col min="11531" max="11531" width="10.5546875" style="69" customWidth="1"/>
    <col min="11532" max="11536" width="8" style="69" customWidth="1"/>
    <col min="11537" max="11776" width="9.109375" style="69" hidden="1"/>
    <col min="11777" max="11777" width="6.88671875" style="69" customWidth="1"/>
    <col min="11778" max="11778" width="23.33203125" style="69" customWidth="1"/>
    <col min="11779" max="11779" width="42.88671875" style="69" customWidth="1"/>
    <col min="11780" max="11780" width="14" style="69" customWidth="1"/>
    <col min="11781" max="11781" width="14.109375" style="69" customWidth="1"/>
    <col min="11782" max="11782" width="13" style="69" customWidth="1"/>
    <col min="11783" max="11783" width="14" style="69" customWidth="1"/>
    <col min="11784" max="11784" width="15" style="69" customWidth="1"/>
    <col min="11785" max="11785" width="15.21875" style="69" customWidth="1"/>
    <col min="11786" max="11786" width="1.88671875" style="69" customWidth="1"/>
    <col min="11787" max="11787" width="10.5546875" style="69" customWidth="1"/>
    <col min="11788" max="11792" width="8" style="69" customWidth="1"/>
    <col min="11793" max="12032" width="9.109375" style="69" hidden="1"/>
    <col min="12033" max="12033" width="6.88671875" style="69" customWidth="1"/>
    <col min="12034" max="12034" width="23.33203125" style="69" customWidth="1"/>
    <col min="12035" max="12035" width="42.88671875" style="69" customWidth="1"/>
    <col min="12036" max="12036" width="14" style="69" customWidth="1"/>
    <col min="12037" max="12037" width="14.109375" style="69" customWidth="1"/>
    <col min="12038" max="12038" width="13" style="69" customWidth="1"/>
    <col min="12039" max="12039" width="14" style="69" customWidth="1"/>
    <col min="12040" max="12040" width="15" style="69" customWidth="1"/>
    <col min="12041" max="12041" width="15.21875" style="69" customWidth="1"/>
    <col min="12042" max="12042" width="1.88671875" style="69" customWidth="1"/>
    <col min="12043" max="12043" width="10.5546875" style="69" customWidth="1"/>
    <col min="12044" max="12048" width="8" style="69" customWidth="1"/>
    <col min="12049" max="12288" width="9.109375" style="69" hidden="1"/>
    <col min="12289" max="12289" width="6.88671875" style="69" customWidth="1"/>
    <col min="12290" max="12290" width="23.33203125" style="69" customWidth="1"/>
    <col min="12291" max="12291" width="42.88671875" style="69" customWidth="1"/>
    <col min="12292" max="12292" width="14" style="69" customWidth="1"/>
    <col min="12293" max="12293" width="14.109375" style="69" customWidth="1"/>
    <col min="12294" max="12294" width="13" style="69" customWidth="1"/>
    <col min="12295" max="12295" width="14" style="69" customWidth="1"/>
    <col min="12296" max="12296" width="15" style="69" customWidth="1"/>
    <col min="12297" max="12297" width="15.21875" style="69" customWidth="1"/>
    <col min="12298" max="12298" width="1.88671875" style="69" customWidth="1"/>
    <col min="12299" max="12299" width="10.5546875" style="69" customWidth="1"/>
    <col min="12300" max="12304" width="8" style="69" customWidth="1"/>
    <col min="12305" max="12544" width="9.109375" style="69" hidden="1"/>
    <col min="12545" max="12545" width="6.88671875" style="69" customWidth="1"/>
    <col min="12546" max="12546" width="23.33203125" style="69" customWidth="1"/>
    <col min="12547" max="12547" width="42.88671875" style="69" customWidth="1"/>
    <col min="12548" max="12548" width="14" style="69" customWidth="1"/>
    <col min="12549" max="12549" width="14.109375" style="69" customWidth="1"/>
    <col min="12550" max="12550" width="13" style="69" customWidth="1"/>
    <col min="12551" max="12551" width="14" style="69" customWidth="1"/>
    <col min="12552" max="12552" width="15" style="69" customWidth="1"/>
    <col min="12553" max="12553" width="15.21875" style="69" customWidth="1"/>
    <col min="12554" max="12554" width="1.88671875" style="69" customWidth="1"/>
    <col min="12555" max="12555" width="10.5546875" style="69" customWidth="1"/>
    <col min="12556" max="12560" width="8" style="69" customWidth="1"/>
    <col min="12561" max="12800" width="9.109375" style="69" hidden="1"/>
    <col min="12801" max="12801" width="6.88671875" style="69" customWidth="1"/>
    <col min="12802" max="12802" width="23.33203125" style="69" customWidth="1"/>
    <col min="12803" max="12803" width="42.88671875" style="69" customWidth="1"/>
    <col min="12804" max="12804" width="14" style="69" customWidth="1"/>
    <col min="12805" max="12805" width="14.109375" style="69" customWidth="1"/>
    <col min="12806" max="12806" width="13" style="69" customWidth="1"/>
    <col min="12807" max="12807" width="14" style="69" customWidth="1"/>
    <col min="12808" max="12808" width="15" style="69" customWidth="1"/>
    <col min="12809" max="12809" width="15.21875" style="69" customWidth="1"/>
    <col min="12810" max="12810" width="1.88671875" style="69" customWidth="1"/>
    <col min="12811" max="12811" width="10.5546875" style="69" customWidth="1"/>
    <col min="12812" max="12816" width="8" style="69" customWidth="1"/>
    <col min="12817" max="13056" width="9.109375" style="69" hidden="1"/>
    <col min="13057" max="13057" width="6.88671875" style="69" customWidth="1"/>
    <col min="13058" max="13058" width="23.33203125" style="69" customWidth="1"/>
    <col min="13059" max="13059" width="42.88671875" style="69" customWidth="1"/>
    <col min="13060" max="13060" width="14" style="69" customWidth="1"/>
    <col min="13061" max="13061" width="14.109375" style="69" customWidth="1"/>
    <col min="13062" max="13062" width="13" style="69" customWidth="1"/>
    <col min="13063" max="13063" width="14" style="69" customWidth="1"/>
    <col min="13064" max="13064" width="15" style="69" customWidth="1"/>
    <col min="13065" max="13065" width="15.21875" style="69" customWidth="1"/>
    <col min="13066" max="13066" width="1.88671875" style="69" customWidth="1"/>
    <col min="13067" max="13067" width="10.5546875" style="69" customWidth="1"/>
    <col min="13068" max="13072" width="8" style="69" customWidth="1"/>
    <col min="13073" max="13312" width="9.109375" style="69" hidden="1"/>
    <col min="13313" max="13313" width="6.88671875" style="69" customWidth="1"/>
    <col min="13314" max="13314" width="23.33203125" style="69" customWidth="1"/>
    <col min="13315" max="13315" width="42.88671875" style="69" customWidth="1"/>
    <col min="13316" max="13316" width="14" style="69" customWidth="1"/>
    <col min="13317" max="13317" width="14.109375" style="69" customWidth="1"/>
    <col min="13318" max="13318" width="13" style="69" customWidth="1"/>
    <col min="13319" max="13319" width="14" style="69" customWidth="1"/>
    <col min="13320" max="13320" width="15" style="69" customWidth="1"/>
    <col min="13321" max="13321" width="15.21875" style="69" customWidth="1"/>
    <col min="13322" max="13322" width="1.88671875" style="69" customWidth="1"/>
    <col min="13323" max="13323" width="10.5546875" style="69" customWidth="1"/>
    <col min="13324" max="13328" width="8" style="69" customWidth="1"/>
    <col min="13329" max="13568" width="9.109375" style="69" hidden="1"/>
    <col min="13569" max="13569" width="6.88671875" style="69" customWidth="1"/>
    <col min="13570" max="13570" width="23.33203125" style="69" customWidth="1"/>
    <col min="13571" max="13571" width="42.88671875" style="69" customWidth="1"/>
    <col min="13572" max="13572" width="14" style="69" customWidth="1"/>
    <col min="13573" max="13573" width="14.109375" style="69" customWidth="1"/>
    <col min="13574" max="13574" width="13" style="69" customWidth="1"/>
    <col min="13575" max="13575" width="14" style="69" customWidth="1"/>
    <col min="13576" max="13576" width="15" style="69" customWidth="1"/>
    <col min="13577" max="13577" width="15.21875" style="69" customWidth="1"/>
    <col min="13578" max="13578" width="1.88671875" style="69" customWidth="1"/>
    <col min="13579" max="13579" width="10.5546875" style="69" customWidth="1"/>
    <col min="13580" max="13584" width="8" style="69" customWidth="1"/>
    <col min="13585" max="13824" width="9.109375" style="69" hidden="1"/>
    <col min="13825" max="13825" width="6.88671875" style="69" customWidth="1"/>
    <col min="13826" max="13826" width="23.33203125" style="69" customWidth="1"/>
    <col min="13827" max="13827" width="42.88671875" style="69" customWidth="1"/>
    <col min="13828" max="13828" width="14" style="69" customWidth="1"/>
    <col min="13829" max="13829" width="14.109375" style="69" customWidth="1"/>
    <col min="13830" max="13830" width="13" style="69" customWidth="1"/>
    <col min="13831" max="13831" width="14" style="69" customWidth="1"/>
    <col min="13832" max="13832" width="15" style="69" customWidth="1"/>
    <col min="13833" max="13833" width="15.21875" style="69" customWidth="1"/>
    <col min="13834" max="13834" width="1.88671875" style="69" customWidth="1"/>
    <col min="13835" max="13835" width="10.5546875" style="69" customWidth="1"/>
    <col min="13836" max="13840" width="8" style="69" customWidth="1"/>
    <col min="13841" max="14080" width="9.109375" style="69" hidden="1"/>
    <col min="14081" max="14081" width="6.88671875" style="69" customWidth="1"/>
    <col min="14082" max="14082" width="23.33203125" style="69" customWidth="1"/>
    <col min="14083" max="14083" width="42.88671875" style="69" customWidth="1"/>
    <col min="14084" max="14084" width="14" style="69" customWidth="1"/>
    <col min="14085" max="14085" width="14.109375" style="69" customWidth="1"/>
    <col min="14086" max="14086" width="13" style="69" customWidth="1"/>
    <col min="14087" max="14087" width="14" style="69" customWidth="1"/>
    <col min="14088" max="14088" width="15" style="69" customWidth="1"/>
    <col min="14089" max="14089" width="15.21875" style="69" customWidth="1"/>
    <col min="14090" max="14090" width="1.88671875" style="69" customWidth="1"/>
    <col min="14091" max="14091" width="10.5546875" style="69" customWidth="1"/>
    <col min="14092" max="14096" width="8" style="69" customWidth="1"/>
    <col min="14097" max="14336" width="9.109375" style="69" hidden="1"/>
    <col min="14337" max="14337" width="6.88671875" style="69" customWidth="1"/>
    <col min="14338" max="14338" width="23.33203125" style="69" customWidth="1"/>
    <col min="14339" max="14339" width="42.88671875" style="69" customWidth="1"/>
    <col min="14340" max="14340" width="14" style="69" customWidth="1"/>
    <col min="14341" max="14341" width="14.109375" style="69" customWidth="1"/>
    <col min="14342" max="14342" width="13" style="69" customWidth="1"/>
    <col min="14343" max="14343" width="14" style="69" customWidth="1"/>
    <col min="14344" max="14344" width="15" style="69" customWidth="1"/>
    <col min="14345" max="14345" width="15.21875" style="69" customWidth="1"/>
    <col min="14346" max="14346" width="1.88671875" style="69" customWidth="1"/>
    <col min="14347" max="14347" width="10.5546875" style="69" customWidth="1"/>
    <col min="14348" max="14352" width="8" style="69" customWidth="1"/>
    <col min="14353" max="14592" width="9.109375" style="69" hidden="1"/>
    <col min="14593" max="14593" width="6.88671875" style="69" customWidth="1"/>
    <col min="14594" max="14594" width="23.33203125" style="69" customWidth="1"/>
    <col min="14595" max="14595" width="42.88671875" style="69" customWidth="1"/>
    <col min="14596" max="14596" width="14" style="69" customWidth="1"/>
    <col min="14597" max="14597" width="14.109375" style="69" customWidth="1"/>
    <col min="14598" max="14598" width="13" style="69" customWidth="1"/>
    <col min="14599" max="14599" width="14" style="69" customWidth="1"/>
    <col min="14600" max="14600" width="15" style="69" customWidth="1"/>
    <col min="14601" max="14601" width="15.21875" style="69" customWidth="1"/>
    <col min="14602" max="14602" width="1.88671875" style="69" customWidth="1"/>
    <col min="14603" max="14603" width="10.5546875" style="69" customWidth="1"/>
    <col min="14604" max="14608" width="8" style="69" customWidth="1"/>
    <col min="14609" max="14848" width="9.109375" style="69" hidden="1"/>
    <col min="14849" max="14849" width="6.88671875" style="69" customWidth="1"/>
    <col min="14850" max="14850" width="23.33203125" style="69" customWidth="1"/>
    <col min="14851" max="14851" width="42.88671875" style="69" customWidth="1"/>
    <col min="14852" max="14852" width="14" style="69" customWidth="1"/>
    <col min="14853" max="14853" width="14.109375" style="69" customWidth="1"/>
    <col min="14854" max="14854" width="13" style="69" customWidth="1"/>
    <col min="14855" max="14855" width="14" style="69" customWidth="1"/>
    <col min="14856" max="14856" width="15" style="69" customWidth="1"/>
    <col min="14857" max="14857" width="15.21875" style="69" customWidth="1"/>
    <col min="14858" max="14858" width="1.88671875" style="69" customWidth="1"/>
    <col min="14859" max="14859" width="10.5546875" style="69" customWidth="1"/>
    <col min="14860" max="14864" width="8" style="69" customWidth="1"/>
    <col min="14865" max="15104" width="9.109375" style="69" hidden="1"/>
    <col min="15105" max="15105" width="6.88671875" style="69" customWidth="1"/>
    <col min="15106" max="15106" width="23.33203125" style="69" customWidth="1"/>
    <col min="15107" max="15107" width="42.88671875" style="69" customWidth="1"/>
    <col min="15108" max="15108" width="14" style="69" customWidth="1"/>
    <col min="15109" max="15109" width="14.109375" style="69" customWidth="1"/>
    <col min="15110" max="15110" width="13" style="69" customWidth="1"/>
    <col min="15111" max="15111" width="14" style="69" customWidth="1"/>
    <col min="15112" max="15112" width="15" style="69" customWidth="1"/>
    <col min="15113" max="15113" width="15.21875" style="69" customWidth="1"/>
    <col min="15114" max="15114" width="1.88671875" style="69" customWidth="1"/>
    <col min="15115" max="15115" width="10.5546875" style="69" customWidth="1"/>
    <col min="15116" max="15120" width="8" style="69" customWidth="1"/>
    <col min="15121" max="15360" width="9.109375" style="69" hidden="1"/>
    <col min="15361" max="15361" width="6.88671875" style="69" customWidth="1"/>
    <col min="15362" max="15362" width="23.33203125" style="69" customWidth="1"/>
    <col min="15363" max="15363" width="42.88671875" style="69" customWidth="1"/>
    <col min="15364" max="15364" width="14" style="69" customWidth="1"/>
    <col min="15365" max="15365" width="14.109375" style="69" customWidth="1"/>
    <col min="15366" max="15366" width="13" style="69" customWidth="1"/>
    <col min="15367" max="15367" width="14" style="69" customWidth="1"/>
    <col min="15368" max="15368" width="15" style="69" customWidth="1"/>
    <col min="15369" max="15369" width="15.21875" style="69" customWidth="1"/>
    <col min="15370" max="15370" width="1.88671875" style="69" customWidth="1"/>
    <col min="15371" max="15371" width="10.5546875" style="69" customWidth="1"/>
    <col min="15372" max="15376" width="8" style="69" customWidth="1"/>
    <col min="15377" max="15616" width="9.109375" style="69" hidden="1"/>
    <col min="15617" max="15617" width="6.88671875" style="69" customWidth="1"/>
    <col min="15618" max="15618" width="23.33203125" style="69" customWidth="1"/>
    <col min="15619" max="15619" width="42.88671875" style="69" customWidth="1"/>
    <col min="15620" max="15620" width="14" style="69" customWidth="1"/>
    <col min="15621" max="15621" width="14.109375" style="69" customWidth="1"/>
    <col min="15622" max="15622" width="13" style="69" customWidth="1"/>
    <col min="15623" max="15623" width="14" style="69" customWidth="1"/>
    <col min="15624" max="15624" width="15" style="69" customWidth="1"/>
    <col min="15625" max="15625" width="15.21875" style="69" customWidth="1"/>
    <col min="15626" max="15626" width="1.88671875" style="69" customWidth="1"/>
    <col min="15627" max="15627" width="10.5546875" style="69" customWidth="1"/>
    <col min="15628" max="15632" width="8" style="69" customWidth="1"/>
    <col min="15633" max="15872" width="9.109375" style="69" hidden="1"/>
    <col min="15873" max="15873" width="6.88671875" style="69" customWidth="1"/>
    <col min="15874" max="15874" width="23.33203125" style="69" customWidth="1"/>
    <col min="15875" max="15875" width="42.88671875" style="69" customWidth="1"/>
    <col min="15876" max="15876" width="14" style="69" customWidth="1"/>
    <col min="15877" max="15877" width="14.109375" style="69" customWidth="1"/>
    <col min="15878" max="15878" width="13" style="69" customWidth="1"/>
    <col min="15879" max="15879" width="14" style="69" customWidth="1"/>
    <col min="15880" max="15880" width="15" style="69" customWidth="1"/>
    <col min="15881" max="15881" width="15.21875" style="69" customWidth="1"/>
    <col min="15882" max="15882" width="1.88671875" style="69" customWidth="1"/>
    <col min="15883" max="15883" width="10.5546875" style="69" customWidth="1"/>
    <col min="15884" max="15888" width="8" style="69" customWidth="1"/>
    <col min="15889" max="16128" width="9.109375" style="69" hidden="1"/>
    <col min="16129" max="16129" width="6.88671875" style="69" customWidth="1"/>
    <col min="16130" max="16130" width="23.33203125" style="69" customWidth="1"/>
    <col min="16131" max="16131" width="42.88671875" style="69" customWidth="1"/>
    <col min="16132" max="16132" width="14" style="69" customWidth="1"/>
    <col min="16133" max="16133" width="14.109375" style="69" customWidth="1"/>
    <col min="16134" max="16134" width="13" style="69" customWidth="1"/>
    <col min="16135" max="16135" width="14" style="69" customWidth="1"/>
    <col min="16136" max="16136" width="15" style="69" customWidth="1"/>
    <col min="16137" max="16137" width="15.21875" style="69" customWidth="1"/>
    <col min="16138" max="16138" width="1.88671875" style="69" customWidth="1"/>
    <col min="16139" max="16139" width="10.5546875" style="69" customWidth="1"/>
    <col min="16140" max="16144" width="8" style="69" customWidth="1"/>
    <col min="16145" max="16145" width="0" style="69" hidden="1"/>
    <col min="16146" max="16384" width="9.109375" style="69" hidden="1"/>
  </cols>
  <sheetData>
    <row r="1" spans="1:1294" s="226" customFormat="1" ht="21.6" customHeight="1">
      <c r="A1" s="523" t="s">
        <v>74</v>
      </c>
      <c r="B1" s="523"/>
      <c r="C1" s="523"/>
      <c r="D1" s="523"/>
      <c r="E1" s="523"/>
      <c r="F1" s="523"/>
      <c r="G1" s="523"/>
      <c r="H1" s="523"/>
    </row>
    <row r="2" spans="1:1294" s="226" customFormat="1" ht="21.6" customHeight="1">
      <c r="A2" s="524" t="s">
        <v>130</v>
      </c>
      <c r="B2" s="524"/>
      <c r="C2" s="524"/>
      <c r="D2" s="524"/>
      <c r="E2" s="524"/>
      <c r="F2" s="524"/>
      <c r="G2" s="524"/>
      <c r="H2" s="524"/>
    </row>
    <row r="3" spans="1:1294" s="226" customFormat="1" ht="20.399999999999999" customHeight="1">
      <c r="A3" s="226" t="s">
        <v>8</v>
      </c>
      <c r="E3" s="232"/>
      <c r="F3" s="232"/>
      <c r="G3" s="360">
        <v>0</v>
      </c>
      <c r="H3" s="232"/>
    </row>
    <row r="4" spans="1:1294" s="56" customFormat="1" ht="36.6" customHeight="1">
      <c r="A4" s="57" t="s">
        <v>0</v>
      </c>
      <c r="B4" s="57" t="s">
        <v>2</v>
      </c>
      <c r="C4" s="57" t="s">
        <v>6</v>
      </c>
      <c r="D4" s="57" t="s">
        <v>9</v>
      </c>
      <c r="E4" s="59" t="s">
        <v>26</v>
      </c>
      <c r="F4" s="58" t="s">
        <v>3</v>
      </c>
      <c r="G4" s="59" t="s">
        <v>10</v>
      </c>
      <c r="H4" s="60" t="s">
        <v>4</v>
      </c>
    </row>
    <row r="5" spans="1:1294" s="56" customFormat="1" ht="19.05" customHeight="1">
      <c r="A5" s="61">
        <v>1</v>
      </c>
      <c r="B5" s="525" t="s">
        <v>19</v>
      </c>
      <c r="C5" s="83" t="s">
        <v>82</v>
      </c>
      <c r="D5" s="519" t="s">
        <v>76</v>
      </c>
      <c r="E5" s="90">
        <f>COUNTIFS(Table13514520105[[#All],[Sales]],"คุณนิมิต จุ้ยอยู่ทอง",Table13514520105[[#All],[รายการเบิก
คอมขาย]],"&gt;0")</f>
        <v>1</v>
      </c>
      <c r="F5" s="70">
        <f>SUMIF(Table13514520105[[#All],[Sales]],"คุณนิมิต จุ้ยอยู่ทอง",Table13514520105[[#All],[รายการเบิก
คอมขาย]])</f>
        <v>4542.0600000000004</v>
      </c>
      <c r="G5" s="86">
        <f t="shared" ref="G5:G16" si="0">F5*$G$3</f>
        <v>0</v>
      </c>
      <c r="H5" s="86">
        <f>SUM(F5-G5)</f>
        <v>4542.0600000000004</v>
      </c>
      <c r="I5" s="174"/>
      <c r="J5" s="87"/>
    </row>
    <row r="6" spans="1:1294" s="56" customFormat="1" ht="19.05" customHeight="1">
      <c r="A6" s="61"/>
      <c r="B6" s="526"/>
      <c r="C6" s="83" t="s">
        <v>83</v>
      </c>
      <c r="D6" s="534"/>
      <c r="E6" s="90">
        <f>COUNTIFS(Table13514520105[[#All],[Sales]],"คุณธวัช มีแสง",Table13514520105[[#All],[รายการเบิก
คอมขาย]],"&gt;0")</f>
        <v>0</v>
      </c>
      <c r="F6" s="70">
        <f>SUMIF(Table13514520105[[#All],[Sales]],"คุณธวัช มีแสง",Table13514520105[[#All],[รายการเบิก
คอมขาย]])</f>
        <v>0</v>
      </c>
      <c r="G6" s="86">
        <f t="shared" si="0"/>
        <v>0</v>
      </c>
      <c r="H6" s="86">
        <f t="shared" ref="H6:H7" si="1">SUM(F6-G6)</f>
        <v>0</v>
      </c>
      <c r="I6" s="62"/>
      <c r="J6" s="88"/>
    </row>
    <row r="7" spans="1:1294" s="56" customFormat="1" ht="19.05" customHeight="1">
      <c r="A7" s="61"/>
      <c r="B7" s="526"/>
      <c r="C7" s="83" t="s">
        <v>84</v>
      </c>
      <c r="D7" s="534"/>
      <c r="E7" s="90">
        <f>COUNTIFS(Table13514520105[[#All],[Sales]],"คุณแดง มูลสองแคว",Table13514520105[[#All],[รายการเบิก
คอมขาย]],"&gt;0")</f>
        <v>1</v>
      </c>
      <c r="F7" s="70">
        <f>SUMIF(Table13514520105[[#All],[Sales]],"คุณแดง มูลสองแคว",Table13514520105[[#All],[รายการเบิก
คอมขาย]])</f>
        <v>4000</v>
      </c>
      <c r="G7" s="86">
        <f t="shared" si="0"/>
        <v>0</v>
      </c>
      <c r="H7" s="86">
        <f t="shared" si="1"/>
        <v>4000</v>
      </c>
      <c r="I7" s="62"/>
      <c r="J7" s="88"/>
    </row>
    <row r="8" spans="1:1294" s="56" customFormat="1" ht="19.05" customHeight="1">
      <c r="A8" s="61"/>
      <c r="B8" s="526"/>
      <c r="C8" s="171" t="s">
        <v>85</v>
      </c>
      <c r="D8" s="534"/>
      <c r="E8" s="90">
        <f>COUNTIFS(Table13514520105[[#All],[Sales]],"คุณนิยนต์ อยู่ทะเล",Table13514520105[[#All],[รายการเบิก
คอมขาย]],"&gt;0")</f>
        <v>0</v>
      </c>
      <c r="F8" s="70">
        <f>SUMIF(Table13514520105[[#All],[Sales]],"คุณนิยนต์ อยู่ทะเล",Table13514520105[[#All],[รายการเบิก
คอมขาย]])</f>
        <v>0</v>
      </c>
      <c r="G8" s="86">
        <f t="shared" ref="G8" si="2">F8*$G$3</f>
        <v>0</v>
      </c>
      <c r="H8" s="86">
        <f t="shared" ref="H8" si="3">SUM(F8-G8)</f>
        <v>0</v>
      </c>
      <c r="I8" s="62"/>
      <c r="J8" s="88"/>
    </row>
    <row r="9" spans="1:1294" s="56" customFormat="1" ht="19.05" customHeight="1">
      <c r="A9" s="61"/>
      <c r="B9" s="526"/>
      <c r="C9" s="179" t="s">
        <v>78</v>
      </c>
      <c r="D9" s="534"/>
      <c r="E9" s="90">
        <f>COUNTIFS(Table13514520105[[#All],[Sales]],"คุณรุ่งอรุณ อินบุญรอด",Table13514520105[[#All],[รายการเบิก
คอมขาย]],"&gt;0")</f>
        <v>1</v>
      </c>
      <c r="F9" s="70">
        <f>SUMIF(Table13514520105[[#All],[Sales]],"คุณรุ่งอรุณ อินบุญรอด",Table13514520105[[#All],[รายการเบิก
คอมขาย]])</f>
        <v>3500</v>
      </c>
      <c r="G9" s="86">
        <f t="shared" ref="G9" si="4">F9*$G$3</f>
        <v>0</v>
      </c>
      <c r="H9" s="86">
        <f t="shared" ref="H9" si="5">SUM(F9-G9)</f>
        <v>3500</v>
      </c>
      <c r="I9" s="62"/>
      <c r="J9" s="88"/>
    </row>
    <row r="10" spans="1:1294" s="56" customFormat="1" ht="19.05" customHeight="1">
      <c r="A10" s="61"/>
      <c r="B10" s="526"/>
      <c r="C10" s="179" t="s">
        <v>79</v>
      </c>
      <c r="D10" s="534"/>
      <c r="E10" s="90">
        <f>COUNTIFS(Table13514520105[[#All],[Sales]],"คุณศศินาถ จุ้ยอยู่ทอง",Table13514520105[[#All],[รายการเบิก
คอมขาย]],"&gt;0")</f>
        <v>1</v>
      </c>
      <c r="F10" s="70">
        <f>SUMIF(Table13514520105[[#All],[Sales]],"คุณศศินาถ จุ้ยอยู่ทอง",Table13514520105[[#All],[รายการเบิก
คอมขาย]])</f>
        <v>6500</v>
      </c>
      <c r="G10" s="86">
        <f t="shared" ref="G10" si="6">F10*$G$3</f>
        <v>0</v>
      </c>
      <c r="H10" s="86">
        <f t="shared" ref="H10" si="7">SUM(F10-G10)</f>
        <v>6500</v>
      </c>
      <c r="I10" s="62"/>
      <c r="J10" s="88"/>
    </row>
    <row r="11" spans="1:1294" s="56" customFormat="1" ht="19.05" customHeight="1">
      <c r="A11" s="61"/>
      <c r="B11" s="526"/>
      <c r="C11" s="358" t="s">
        <v>103</v>
      </c>
      <c r="D11" s="534"/>
      <c r="E11" s="90">
        <f>COUNTIFS(Table13514520105[[#All],[Sales]],"คุณณรงศ์ศักย์ เหล่ารัตนเวช",Table13514520105[[#All],[รายการเบิก
คอมขาย]],"&gt;0")</f>
        <v>0</v>
      </c>
      <c r="F11" s="70">
        <f>SUMIF(Table13514520105[[#All],[Sales]],"คุณณรงศ์ศักย์ เหล่ารัตนเวช",Table13514520105[[#All],[รายการเบิก
คอมขาย]])</f>
        <v>0</v>
      </c>
      <c r="G11" s="86">
        <f t="shared" ref="G11" si="8">F11*$G$3</f>
        <v>0</v>
      </c>
      <c r="H11" s="86">
        <f t="shared" ref="H11" si="9">SUM(F11-G11)</f>
        <v>0</v>
      </c>
      <c r="I11" s="62"/>
      <c r="J11" s="88"/>
    </row>
    <row r="12" spans="1:1294" s="56" customFormat="1" ht="19.05" customHeight="1">
      <c r="A12" s="61"/>
      <c r="B12" s="526"/>
      <c r="C12" s="358" t="s">
        <v>168</v>
      </c>
      <c r="D12" s="534"/>
      <c r="E12" s="90">
        <f>COUNTIFS(Table13514520105[[#All],[Sales]],"คุณชนัฐฎา สนคะมี",Table13514520105[[#All],[รายการเบิก
คอมขาย]],"&gt;0")</f>
        <v>0</v>
      </c>
      <c r="F12" s="70">
        <f>SUMIF(Table13514520105[[#All],[Sales]],"คุณชนัฐฎา สนคะมี",Table13514520105[[#All],[รายการเบิก
คอมขาย]])</f>
        <v>0</v>
      </c>
      <c r="G12" s="86">
        <f t="shared" ref="G12" si="10">F12*$G$3</f>
        <v>0</v>
      </c>
      <c r="H12" s="86">
        <f t="shared" ref="H12" si="11">SUM(F12-G12)</f>
        <v>0</v>
      </c>
      <c r="I12" s="62"/>
      <c r="J12" s="88"/>
    </row>
    <row r="13" spans="1:1294" s="56" customFormat="1" ht="19.05" customHeight="1">
      <c r="A13" s="61"/>
      <c r="B13" s="527"/>
      <c r="C13" s="83" t="s">
        <v>81</v>
      </c>
      <c r="D13" s="535"/>
      <c r="E13" s="90">
        <f>COUNTIFS(Table13514520105[[#All],[Sales]],"คุณธัญลักษณ์ หมื่นหลุบกุง",Table13514520105[[#All],[รายการเบิก
คอมขาย]],"&gt;0")</f>
        <v>0</v>
      </c>
      <c r="F13" s="70">
        <f>SUMIF(Table13514520105[[#All],[Sales]],"คุณธัญลักษณ์ หมื่นหลุบกุง",Table13514520105[[#All],[รายการเบิก
คอมขาย]])</f>
        <v>0</v>
      </c>
      <c r="G13" s="86">
        <f>F13*$G$3</f>
        <v>0</v>
      </c>
      <c r="H13" s="86">
        <f>SUM(F13-G13)</f>
        <v>0</v>
      </c>
      <c r="I13" s="62"/>
      <c r="J13" s="88"/>
    </row>
    <row r="14" spans="1:1294" s="63" customFormat="1" ht="19.05" customHeight="1">
      <c r="A14" s="80">
        <v>2</v>
      </c>
      <c r="B14" s="528" t="s">
        <v>11</v>
      </c>
      <c r="C14" s="83" t="s">
        <v>82</v>
      </c>
      <c r="D14" s="536" t="s">
        <v>28</v>
      </c>
      <c r="E14" s="91">
        <f>COUNTIFS(Table13514520105[[#All],[Sales]],"คุณนิมิต จุ้ยอยู่ทอง",Table13514520105[[#All],[ค่าขายอุปกรณ์]],"&gt;1")</f>
        <v>0</v>
      </c>
      <c r="F14" s="86">
        <f>SUMIF(Table13514520105[[#All],[Sales]],"คุณนิมิต จุ้ยอยู่ทอง",Table13514520105[[#All],[Total
คอมฯ อุปกรณ์]])</f>
        <v>0</v>
      </c>
      <c r="G14" s="86">
        <f t="shared" si="0"/>
        <v>0</v>
      </c>
      <c r="H14" s="86">
        <f>SUM(F14-G14)</f>
        <v>0</v>
      </c>
      <c r="I14" s="62"/>
      <c r="J14" s="89"/>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c r="IR14" s="56"/>
      <c r="IS14" s="56"/>
      <c r="IT14" s="56"/>
      <c r="IU14" s="56"/>
      <c r="IV14" s="56"/>
      <c r="IW14" s="56"/>
      <c r="IX14" s="56"/>
      <c r="IY14" s="56"/>
      <c r="IZ14" s="56"/>
      <c r="JA14" s="56"/>
      <c r="JB14" s="56"/>
      <c r="JC14" s="56"/>
      <c r="JD14" s="56"/>
      <c r="JE14" s="56"/>
      <c r="JF14" s="56"/>
      <c r="JG14" s="56"/>
      <c r="JH14" s="56"/>
      <c r="JI14" s="56"/>
      <c r="JJ14" s="56"/>
      <c r="JK14" s="56"/>
      <c r="JL14" s="56"/>
      <c r="JM14" s="56"/>
      <c r="JN14" s="56"/>
      <c r="JO14" s="56"/>
      <c r="JP14" s="56"/>
      <c r="JQ14" s="56"/>
      <c r="JR14" s="56"/>
      <c r="JS14" s="56"/>
      <c r="JT14" s="56"/>
      <c r="JU14" s="56"/>
      <c r="JV14" s="56"/>
      <c r="JW14" s="56"/>
      <c r="JX14" s="56"/>
      <c r="JY14" s="56"/>
      <c r="JZ14" s="56"/>
      <c r="KA14" s="56"/>
      <c r="KB14" s="56"/>
      <c r="KC14" s="56"/>
      <c r="KD14" s="56"/>
      <c r="KE14" s="56"/>
      <c r="KF14" s="56"/>
      <c r="KG14" s="56"/>
      <c r="KH14" s="56"/>
      <c r="KI14" s="56"/>
      <c r="KJ14" s="56"/>
      <c r="KK14" s="56"/>
      <c r="KL14" s="56"/>
      <c r="KM14" s="56"/>
      <c r="KN14" s="56"/>
      <c r="KO14" s="56"/>
      <c r="KP14" s="56"/>
      <c r="KQ14" s="56"/>
      <c r="KR14" s="56"/>
      <c r="KS14" s="56"/>
      <c r="KT14" s="56"/>
      <c r="KU14" s="56"/>
      <c r="KV14" s="56"/>
      <c r="KW14" s="56"/>
      <c r="KX14" s="56"/>
      <c r="KY14" s="56"/>
      <c r="KZ14" s="56"/>
      <c r="LA14" s="56"/>
      <c r="LB14" s="56"/>
      <c r="LC14" s="56"/>
      <c r="LD14" s="56"/>
      <c r="LE14" s="56"/>
      <c r="LF14" s="56"/>
      <c r="LG14" s="56"/>
      <c r="LH14" s="56"/>
      <c r="LI14" s="56"/>
      <c r="LJ14" s="56"/>
      <c r="LK14" s="56"/>
      <c r="LL14" s="56"/>
      <c r="LM14" s="56"/>
      <c r="LN14" s="56"/>
      <c r="LO14" s="56"/>
      <c r="LP14" s="56"/>
      <c r="LQ14" s="56"/>
      <c r="LR14" s="56"/>
      <c r="LS14" s="56"/>
      <c r="LT14" s="56"/>
      <c r="LU14" s="56"/>
      <c r="LV14" s="56"/>
      <c r="LW14" s="56"/>
      <c r="LX14" s="56"/>
      <c r="LY14" s="56"/>
      <c r="LZ14" s="56"/>
      <c r="MA14" s="56"/>
      <c r="MB14" s="56"/>
      <c r="MC14" s="56"/>
      <c r="MD14" s="56"/>
      <c r="ME14" s="56"/>
      <c r="MF14" s="56"/>
      <c r="MG14" s="56"/>
      <c r="MH14" s="56"/>
      <c r="MI14" s="56"/>
      <c r="MJ14" s="56"/>
      <c r="MK14" s="56"/>
      <c r="ML14" s="56"/>
      <c r="MM14" s="56"/>
      <c r="MN14" s="56"/>
      <c r="MO14" s="56"/>
      <c r="MP14" s="56"/>
      <c r="MQ14" s="56"/>
      <c r="MR14" s="56"/>
      <c r="MS14" s="56"/>
      <c r="MT14" s="56"/>
      <c r="MU14" s="56"/>
      <c r="MV14" s="56"/>
      <c r="MW14" s="56"/>
      <c r="MX14" s="56"/>
      <c r="MY14" s="56"/>
      <c r="MZ14" s="56"/>
      <c r="NA14" s="56"/>
      <c r="NB14" s="56"/>
      <c r="NC14" s="56"/>
      <c r="ND14" s="56"/>
      <c r="NE14" s="56"/>
      <c r="NF14" s="56"/>
      <c r="NG14" s="56"/>
      <c r="NH14" s="56"/>
      <c r="NI14" s="56"/>
      <c r="NJ14" s="56"/>
      <c r="NK14" s="56"/>
      <c r="NL14" s="56"/>
      <c r="NM14" s="56"/>
      <c r="NN14" s="56"/>
      <c r="NO14" s="56"/>
      <c r="NP14" s="56"/>
      <c r="NQ14" s="56"/>
      <c r="NR14" s="56"/>
      <c r="NS14" s="56"/>
      <c r="NT14" s="56"/>
      <c r="NU14" s="56"/>
      <c r="NV14" s="56"/>
      <c r="NW14" s="56"/>
      <c r="NX14" s="56"/>
      <c r="NY14" s="56"/>
      <c r="NZ14" s="56"/>
      <c r="OA14" s="56"/>
      <c r="OB14" s="56"/>
      <c r="OC14" s="56"/>
      <c r="OD14" s="56"/>
      <c r="OE14" s="56"/>
      <c r="OF14" s="56"/>
      <c r="OG14" s="56"/>
      <c r="OH14" s="56"/>
      <c r="OI14" s="56"/>
      <c r="OJ14" s="56"/>
      <c r="OK14" s="56"/>
      <c r="OL14" s="56"/>
      <c r="OM14" s="56"/>
      <c r="ON14" s="56"/>
      <c r="OO14" s="56"/>
      <c r="OP14" s="56"/>
      <c r="OQ14" s="56"/>
      <c r="OR14" s="56"/>
      <c r="OS14" s="56"/>
      <c r="OT14" s="56"/>
      <c r="OU14" s="56"/>
      <c r="OV14" s="56"/>
      <c r="OW14" s="56"/>
      <c r="OX14" s="56"/>
      <c r="OY14" s="56"/>
      <c r="OZ14" s="56"/>
      <c r="PA14" s="56"/>
      <c r="PB14" s="56"/>
      <c r="PC14" s="56"/>
      <c r="PD14" s="56"/>
      <c r="PE14" s="56"/>
      <c r="PF14" s="56"/>
      <c r="PG14" s="56"/>
      <c r="PH14" s="56"/>
      <c r="PI14" s="56"/>
      <c r="PJ14" s="56"/>
      <c r="PK14" s="56"/>
      <c r="PL14" s="56"/>
      <c r="PM14" s="56"/>
      <c r="PN14" s="56"/>
      <c r="PO14" s="56"/>
      <c r="PP14" s="56"/>
      <c r="PQ14" s="56"/>
      <c r="PR14" s="56"/>
      <c r="PS14" s="56"/>
      <c r="PT14" s="56"/>
      <c r="PU14" s="56"/>
      <c r="PV14" s="56"/>
      <c r="PW14" s="56"/>
      <c r="PX14" s="56"/>
      <c r="PY14" s="56"/>
      <c r="PZ14" s="56"/>
      <c r="QA14" s="56"/>
      <c r="QB14" s="56"/>
      <c r="QC14" s="56"/>
      <c r="QD14" s="56"/>
      <c r="QE14" s="56"/>
      <c r="QF14" s="56"/>
      <c r="QG14" s="56"/>
      <c r="QH14" s="56"/>
      <c r="QI14" s="56"/>
      <c r="QJ14" s="56"/>
      <c r="QK14" s="56"/>
      <c r="QL14" s="56"/>
      <c r="QM14" s="56"/>
      <c r="QN14" s="56"/>
      <c r="QO14" s="56"/>
      <c r="QP14" s="56"/>
      <c r="QQ14" s="56"/>
      <c r="QR14" s="56"/>
      <c r="QS14" s="56"/>
      <c r="QT14" s="56"/>
      <c r="QU14" s="56"/>
      <c r="QV14" s="56"/>
      <c r="QW14" s="56"/>
      <c r="QX14" s="56"/>
      <c r="QY14" s="56"/>
      <c r="QZ14" s="56"/>
      <c r="RA14" s="56"/>
      <c r="RB14" s="56"/>
      <c r="RC14" s="56"/>
      <c r="RD14" s="56"/>
      <c r="RE14" s="56"/>
      <c r="RF14" s="56"/>
      <c r="RG14" s="56"/>
      <c r="RH14" s="56"/>
      <c r="RI14" s="56"/>
      <c r="RJ14" s="56"/>
      <c r="RK14" s="56"/>
      <c r="RL14" s="56"/>
      <c r="RM14" s="56"/>
      <c r="RN14" s="56"/>
      <c r="RO14" s="56"/>
      <c r="RP14" s="56"/>
      <c r="RQ14" s="56"/>
      <c r="RR14" s="56"/>
      <c r="RS14" s="56"/>
      <c r="RT14" s="56"/>
      <c r="RU14" s="56"/>
      <c r="RV14" s="56"/>
      <c r="RW14" s="56"/>
      <c r="RX14" s="56"/>
      <c r="RY14" s="56"/>
      <c r="RZ14" s="56"/>
      <c r="SA14" s="56"/>
      <c r="SB14" s="56"/>
      <c r="SC14" s="56"/>
      <c r="SD14" s="56"/>
      <c r="SE14" s="56"/>
      <c r="SF14" s="56"/>
      <c r="SG14" s="56"/>
      <c r="SH14" s="56"/>
      <c r="SI14" s="56"/>
      <c r="SJ14" s="56"/>
      <c r="SK14" s="56"/>
      <c r="SL14" s="56"/>
      <c r="SM14" s="56"/>
      <c r="SN14" s="56"/>
      <c r="SO14" s="56"/>
      <c r="SP14" s="56"/>
      <c r="SQ14" s="56"/>
      <c r="SR14" s="56"/>
      <c r="SS14" s="56"/>
      <c r="ST14" s="56"/>
      <c r="SU14" s="56"/>
      <c r="SV14" s="56"/>
      <c r="SW14" s="56"/>
      <c r="SX14" s="56"/>
      <c r="SY14" s="56"/>
      <c r="SZ14" s="56"/>
      <c r="TA14" s="56"/>
      <c r="TB14" s="56"/>
      <c r="TC14" s="56"/>
      <c r="TD14" s="56"/>
      <c r="TE14" s="56"/>
      <c r="TF14" s="56"/>
      <c r="TG14" s="56"/>
      <c r="TH14" s="56"/>
      <c r="TI14" s="56"/>
      <c r="TJ14" s="56"/>
      <c r="TK14" s="56"/>
      <c r="TL14" s="56"/>
      <c r="TM14" s="56"/>
      <c r="TN14" s="56"/>
      <c r="TO14" s="56"/>
      <c r="TP14" s="56"/>
      <c r="TQ14" s="56"/>
      <c r="TR14" s="56"/>
      <c r="TS14" s="56"/>
      <c r="TT14" s="56"/>
      <c r="TU14" s="56"/>
      <c r="TV14" s="56"/>
      <c r="TW14" s="56"/>
      <c r="TX14" s="56"/>
      <c r="TY14" s="56"/>
      <c r="TZ14" s="56"/>
      <c r="UA14" s="56"/>
      <c r="UB14" s="56"/>
      <c r="UC14" s="56"/>
      <c r="UD14" s="56"/>
      <c r="UE14" s="56"/>
      <c r="UF14" s="56"/>
      <c r="UG14" s="56"/>
      <c r="UH14" s="56"/>
      <c r="UI14" s="56"/>
      <c r="UJ14" s="56"/>
      <c r="UK14" s="56"/>
      <c r="UL14" s="56"/>
      <c r="UM14" s="56"/>
      <c r="UN14" s="56"/>
      <c r="UO14" s="56"/>
      <c r="UP14" s="56"/>
      <c r="UQ14" s="56"/>
      <c r="UR14" s="56"/>
      <c r="US14" s="56"/>
      <c r="UT14" s="56"/>
      <c r="UU14" s="56"/>
      <c r="UV14" s="56"/>
      <c r="UW14" s="56"/>
      <c r="UX14" s="56"/>
      <c r="UY14" s="56"/>
      <c r="UZ14" s="56"/>
      <c r="VA14" s="56"/>
      <c r="VB14" s="56"/>
      <c r="VC14" s="56"/>
      <c r="VD14" s="56"/>
      <c r="VE14" s="56"/>
      <c r="VF14" s="56"/>
      <c r="VG14" s="56"/>
      <c r="VH14" s="56"/>
      <c r="VI14" s="56"/>
      <c r="VJ14" s="56"/>
      <c r="VK14" s="56"/>
      <c r="VL14" s="56"/>
      <c r="VM14" s="56"/>
      <c r="VN14" s="56"/>
      <c r="VO14" s="56"/>
      <c r="VP14" s="56"/>
      <c r="VQ14" s="56"/>
      <c r="VR14" s="56"/>
      <c r="VS14" s="56"/>
      <c r="VT14" s="56"/>
      <c r="VU14" s="56"/>
      <c r="VV14" s="56"/>
      <c r="VW14" s="56"/>
      <c r="VX14" s="56"/>
      <c r="VY14" s="56"/>
      <c r="VZ14" s="56"/>
      <c r="WA14" s="56"/>
      <c r="WB14" s="56"/>
      <c r="WC14" s="56"/>
      <c r="WD14" s="56"/>
      <c r="WE14" s="56"/>
      <c r="WF14" s="56"/>
      <c r="WG14" s="56"/>
      <c r="WH14" s="56"/>
      <c r="WI14" s="56"/>
      <c r="WJ14" s="56"/>
      <c r="WK14" s="56"/>
      <c r="WL14" s="56"/>
      <c r="WM14" s="56"/>
      <c r="WN14" s="56"/>
      <c r="WO14" s="56"/>
      <c r="WP14" s="56"/>
      <c r="WQ14" s="56"/>
      <c r="WR14" s="56"/>
      <c r="WS14" s="56"/>
      <c r="WT14" s="56"/>
      <c r="WU14" s="56"/>
      <c r="WV14" s="56"/>
      <c r="WW14" s="56"/>
      <c r="WX14" s="56"/>
      <c r="WY14" s="56"/>
      <c r="WZ14" s="56"/>
      <c r="XA14" s="56"/>
      <c r="XB14" s="56"/>
      <c r="XC14" s="56"/>
      <c r="XD14" s="56"/>
      <c r="XE14" s="56"/>
      <c r="XF14" s="56"/>
      <c r="XG14" s="56"/>
      <c r="XH14" s="56"/>
      <c r="XI14" s="56"/>
      <c r="XJ14" s="56"/>
      <c r="XK14" s="56"/>
      <c r="XL14" s="56"/>
      <c r="XM14" s="56"/>
      <c r="XN14" s="56"/>
      <c r="XO14" s="56"/>
      <c r="XP14" s="56"/>
      <c r="XQ14" s="56"/>
      <c r="XR14" s="56"/>
      <c r="XS14" s="56"/>
      <c r="XT14" s="56"/>
      <c r="XU14" s="56"/>
      <c r="XV14" s="56"/>
      <c r="XW14" s="56"/>
      <c r="XX14" s="56"/>
      <c r="XY14" s="56"/>
      <c r="XZ14" s="56"/>
      <c r="YA14" s="56"/>
      <c r="YB14" s="56"/>
      <c r="YC14" s="56"/>
      <c r="YD14" s="56"/>
      <c r="YE14" s="56"/>
      <c r="YF14" s="56"/>
      <c r="YG14" s="56"/>
      <c r="YH14" s="56"/>
      <c r="YI14" s="56"/>
      <c r="YJ14" s="56"/>
      <c r="YK14" s="56"/>
      <c r="YL14" s="56"/>
      <c r="YM14" s="56"/>
      <c r="YN14" s="56"/>
      <c r="YO14" s="56"/>
      <c r="YP14" s="56"/>
      <c r="YQ14" s="56"/>
      <c r="YR14" s="56"/>
      <c r="YS14" s="56"/>
      <c r="YT14" s="56"/>
      <c r="YU14" s="56"/>
      <c r="YV14" s="56"/>
      <c r="YW14" s="56"/>
      <c r="YX14" s="56"/>
      <c r="YY14" s="56"/>
      <c r="YZ14" s="56"/>
      <c r="ZA14" s="56"/>
      <c r="ZB14" s="56"/>
      <c r="ZC14" s="56"/>
      <c r="ZD14" s="56"/>
      <c r="ZE14" s="56"/>
      <c r="ZF14" s="56"/>
      <c r="ZG14" s="56"/>
      <c r="ZH14" s="56"/>
      <c r="ZI14" s="56"/>
      <c r="ZJ14" s="56"/>
      <c r="ZK14" s="56"/>
      <c r="ZL14" s="56"/>
      <c r="ZM14" s="56"/>
      <c r="ZN14" s="56"/>
      <c r="ZO14" s="56"/>
      <c r="ZP14" s="56"/>
      <c r="ZQ14" s="56"/>
      <c r="ZR14" s="56"/>
      <c r="ZS14" s="56"/>
      <c r="ZT14" s="56"/>
      <c r="ZU14" s="56"/>
      <c r="ZV14" s="56"/>
      <c r="ZW14" s="56"/>
      <c r="ZX14" s="56"/>
      <c r="ZY14" s="56"/>
      <c r="ZZ14" s="56"/>
      <c r="AAA14" s="56"/>
      <c r="AAB14" s="56"/>
      <c r="AAC14" s="56"/>
      <c r="AAD14" s="56"/>
      <c r="AAE14" s="56"/>
      <c r="AAF14" s="56"/>
      <c r="AAG14" s="56"/>
      <c r="AAH14" s="56"/>
      <c r="AAI14" s="56"/>
      <c r="AAJ14" s="56"/>
      <c r="AAK14" s="56"/>
      <c r="AAL14" s="56"/>
      <c r="AAM14" s="56"/>
      <c r="AAN14" s="56"/>
      <c r="AAO14" s="56"/>
      <c r="AAP14" s="56"/>
      <c r="AAQ14" s="56"/>
      <c r="AAR14" s="56"/>
      <c r="AAS14" s="56"/>
      <c r="AAT14" s="56"/>
      <c r="AAU14" s="56"/>
      <c r="AAV14" s="56"/>
      <c r="AAW14" s="56"/>
      <c r="AAX14" s="56"/>
      <c r="AAY14" s="56"/>
      <c r="AAZ14" s="56"/>
      <c r="ABA14" s="56"/>
      <c r="ABB14" s="56"/>
      <c r="ABC14" s="56"/>
      <c r="ABD14" s="56"/>
      <c r="ABE14" s="56"/>
      <c r="ABF14" s="56"/>
      <c r="ABG14" s="56"/>
      <c r="ABH14" s="56"/>
      <c r="ABI14" s="56"/>
      <c r="ABJ14" s="56"/>
      <c r="ABK14" s="56"/>
      <c r="ABL14" s="56"/>
      <c r="ABM14" s="56"/>
      <c r="ABN14" s="56"/>
      <c r="ABO14" s="56"/>
      <c r="ABP14" s="56"/>
      <c r="ABQ14" s="56"/>
      <c r="ABR14" s="56"/>
      <c r="ABS14" s="56"/>
      <c r="ABT14" s="56"/>
      <c r="ABU14" s="56"/>
      <c r="ABV14" s="56"/>
      <c r="ABW14" s="56"/>
      <c r="ABX14" s="56"/>
      <c r="ABY14" s="56"/>
      <c r="ABZ14" s="56"/>
      <c r="ACA14" s="56"/>
      <c r="ACB14" s="56"/>
      <c r="ACC14" s="56"/>
      <c r="ACD14" s="56"/>
      <c r="ACE14" s="56"/>
      <c r="ACF14" s="56"/>
      <c r="ACG14" s="56"/>
      <c r="ACH14" s="56"/>
      <c r="ACI14" s="56"/>
      <c r="ACJ14" s="56"/>
      <c r="ACK14" s="56"/>
      <c r="ACL14" s="56"/>
      <c r="ACM14" s="56"/>
      <c r="ACN14" s="56"/>
      <c r="ACO14" s="56"/>
      <c r="ACP14" s="56"/>
      <c r="ACQ14" s="56"/>
      <c r="ACR14" s="56"/>
      <c r="ACS14" s="56"/>
      <c r="ACT14" s="56"/>
      <c r="ACU14" s="56"/>
      <c r="ACV14" s="56"/>
      <c r="ACW14" s="56"/>
      <c r="ACX14" s="56"/>
      <c r="ACY14" s="56"/>
      <c r="ACZ14" s="56"/>
      <c r="ADA14" s="56"/>
      <c r="ADB14" s="56"/>
      <c r="ADC14" s="56"/>
      <c r="ADD14" s="56"/>
      <c r="ADE14" s="56"/>
      <c r="ADF14" s="56"/>
      <c r="ADG14" s="56"/>
      <c r="ADH14" s="56"/>
      <c r="ADI14" s="56"/>
      <c r="ADJ14" s="56"/>
      <c r="ADK14" s="56"/>
      <c r="ADL14" s="56"/>
      <c r="ADM14" s="56"/>
      <c r="ADN14" s="56"/>
      <c r="ADO14" s="56"/>
      <c r="ADP14" s="56"/>
      <c r="ADQ14" s="56"/>
      <c r="ADR14" s="56"/>
      <c r="ADS14" s="56"/>
      <c r="ADT14" s="56"/>
      <c r="ADU14" s="56"/>
      <c r="ADV14" s="56"/>
      <c r="ADW14" s="56"/>
      <c r="ADX14" s="56"/>
      <c r="ADY14" s="56"/>
      <c r="ADZ14" s="56"/>
      <c r="AEA14" s="56"/>
      <c r="AEB14" s="56"/>
      <c r="AEC14" s="56"/>
      <c r="AED14" s="56"/>
      <c r="AEE14" s="56"/>
      <c r="AEF14" s="56"/>
      <c r="AEG14" s="56"/>
      <c r="AEH14" s="56"/>
      <c r="AEI14" s="56"/>
      <c r="AEJ14" s="56"/>
      <c r="AEK14" s="56"/>
      <c r="AEL14" s="56"/>
      <c r="AEM14" s="56"/>
      <c r="AEN14" s="56"/>
      <c r="AEO14" s="56"/>
      <c r="AEP14" s="56"/>
      <c r="AEQ14" s="56"/>
      <c r="AER14" s="56"/>
      <c r="AES14" s="56"/>
      <c r="AET14" s="56"/>
      <c r="AEU14" s="56"/>
      <c r="AEV14" s="56"/>
      <c r="AEW14" s="56"/>
      <c r="AEX14" s="56"/>
      <c r="AEY14" s="56"/>
      <c r="AEZ14" s="56"/>
      <c r="AFA14" s="56"/>
      <c r="AFB14" s="56"/>
      <c r="AFC14" s="56"/>
      <c r="AFD14" s="56"/>
      <c r="AFE14" s="56"/>
      <c r="AFF14" s="56"/>
      <c r="AFG14" s="56"/>
      <c r="AFH14" s="56"/>
      <c r="AFI14" s="56"/>
      <c r="AFJ14" s="56"/>
      <c r="AFK14" s="56"/>
      <c r="AFL14" s="56"/>
      <c r="AFM14" s="56"/>
      <c r="AFN14" s="56"/>
      <c r="AFO14" s="56"/>
      <c r="AFP14" s="56"/>
      <c r="AFQ14" s="56"/>
      <c r="AFR14" s="56"/>
      <c r="AFS14" s="56"/>
      <c r="AFT14" s="56"/>
      <c r="AFU14" s="56"/>
      <c r="AFV14" s="56"/>
      <c r="AFW14" s="56"/>
      <c r="AFX14" s="56"/>
      <c r="AFY14" s="56"/>
      <c r="AFZ14" s="56"/>
      <c r="AGA14" s="56"/>
      <c r="AGB14" s="56"/>
      <c r="AGC14" s="56"/>
      <c r="AGD14" s="56"/>
      <c r="AGE14" s="56"/>
      <c r="AGF14" s="56"/>
      <c r="AGG14" s="56"/>
      <c r="AGH14" s="56"/>
      <c r="AGI14" s="56"/>
      <c r="AGJ14" s="56"/>
      <c r="AGK14" s="56"/>
      <c r="AGL14" s="56"/>
      <c r="AGM14" s="56"/>
      <c r="AGN14" s="56"/>
      <c r="AGO14" s="56"/>
      <c r="AGP14" s="56"/>
      <c r="AGQ14" s="56"/>
      <c r="AGR14" s="56"/>
      <c r="AGS14" s="56"/>
      <c r="AGT14" s="56"/>
      <c r="AGU14" s="56"/>
      <c r="AGV14" s="56"/>
      <c r="AGW14" s="56"/>
      <c r="AGX14" s="56"/>
      <c r="AGY14" s="56"/>
      <c r="AGZ14" s="56"/>
      <c r="AHA14" s="56"/>
      <c r="AHB14" s="56"/>
      <c r="AHC14" s="56"/>
      <c r="AHD14" s="56"/>
      <c r="AHE14" s="56"/>
      <c r="AHF14" s="56"/>
      <c r="AHG14" s="56"/>
      <c r="AHH14" s="56"/>
      <c r="AHI14" s="56"/>
      <c r="AHJ14" s="56"/>
      <c r="AHK14" s="56"/>
      <c r="AHL14" s="56"/>
      <c r="AHM14" s="56"/>
      <c r="AHN14" s="56"/>
      <c r="AHO14" s="56"/>
      <c r="AHP14" s="56"/>
      <c r="AHQ14" s="56"/>
      <c r="AHR14" s="56"/>
      <c r="AHS14" s="56"/>
      <c r="AHT14" s="56"/>
      <c r="AHU14" s="56"/>
      <c r="AHV14" s="56"/>
      <c r="AHW14" s="56"/>
      <c r="AHX14" s="56"/>
      <c r="AHY14" s="56"/>
      <c r="AHZ14" s="56"/>
      <c r="AIA14" s="56"/>
      <c r="AIB14" s="56"/>
      <c r="AIC14" s="56"/>
      <c r="AID14" s="56"/>
      <c r="AIE14" s="56"/>
      <c r="AIF14" s="56"/>
      <c r="AIG14" s="56"/>
      <c r="AIH14" s="56"/>
      <c r="AII14" s="56"/>
      <c r="AIJ14" s="56"/>
      <c r="AIK14" s="56"/>
      <c r="AIL14" s="56"/>
      <c r="AIM14" s="56"/>
      <c r="AIN14" s="56"/>
      <c r="AIO14" s="56"/>
      <c r="AIP14" s="56"/>
      <c r="AIQ14" s="56"/>
      <c r="AIR14" s="56"/>
      <c r="AIS14" s="56"/>
      <c r="AIT14" s="56"/>
      <c r="AIU14" s="56"/>
      <c r="AIV14" s="56"/>
      <c r="AIW14" s="56"/>
      <c r="AIX14" s="56"/>
      <c r="AIY14" s="56"/>
      <c r="AIZ14" s="56"/>
      <c r="AJA14" s="56"/>
      <c r="AJB14" s="56"/>
      <c r="AJC14" s="56"/>
      <c r="AJD14" s="56"/>
      <c r="AJE14" s="56"/>
      <c r="AJF14" s="56"/>
      <c r="AJG14" s="56"/>
      <c r="AJH14" s="56"/>
      <c r="AJI14" s="56"/>
      <c r="AJJ14" s="56"/>
      <c r="AJK14" s="56"/>
      <c r="AJL14" s="56"/>
      <c r="AJM14" s="56"/>
      <c r="AJN14" s="56"/>
      <c r="AJO14" s="56"/>
      <c r="AJP14" s="56"/>
      <c r="AJQ14" s="56"/>
      <c r="AJR14" s="56"/>
      <c r="AJS14" s="56"/>
      <c r="AJT14" s="56"/>
      <c r="AJU14" s="56"/>
      <c r="AJV14" s="56"/>
      <c r="AJW14" s="56"/>
      <c r="AJX14" s="56"/>
      <c r="AJY14" s="56"/>
      <c r="AJZ14" s="56"/>
      <c r="AKA14" s="56"/>
      <c r="AKB14" s="56"/>
      <c r="AKC14" s="56"/>
      <c r="AKD14" s="56"/>
      <c r="AKE14" s="56"/>
      <c r="AKF14" s="56"/>
      <c r="AKG14" s="56"/>
      <c r="AKH14" s="56"/>
      <c r="AKI14" s="56"/>
      <c r="AKJ14" s="56"/>
      <c r="AKK14" s="56"/>
      <c r="AKL14" s="56"/>
      <c r="AKM14" s="56"/>
      <c r="AKN14" s="56"/>
      <c r="AKO14" s="56"/>
      <c r="AKP14" s="56"/>
      <c r="AKQ14" s="56"/>
      <c r="AKR14" s="56"/>
      <c r="AKS14" s="56"/>
      <c r="AKT14" s="56"/>
      <c r="AKU14" s="56"/>
      <c r="AKV14" s="56"/>
      <c r="AKW14" s="56"/>
      <c r="AKX14" s="56"/>
      <c r="AKY14" s="56"/>
      <c r="AKZ14" s="56"/>
      <c r="ALA14" s="56"/>
      <c r="ALB14" s="56"/>
      <c r="ALC14" s="56"/>
      <c r="ALD14" s="56"/>
      <c r="ALE14" s="56"/>
      <c r="ALF14" s="56"/>
      <c r="ALG14" s="56"/>
      <c r="ALH14" s="56"/>
      <c r="ALI14" s="56"/>
      <c r="ALJ14" s="56"/>
      <c r="ALK14" s="56"/>
      <c r="ALL14" s="56"/>
      <c r="ALM14" s="56"/>
      <c r="ALN14" s="56"/>
      <c r="ALO14" s="56"/>
      <c r="ALP14" s="56"/>
      <c r="ALQ14" s="56"/>
      <c r="ALR14" s="56"/>
      <c r="ALS14" s="56"/>
      <c r="ALT14" s="56"/>
      <c r="ALU14" s="56"/>
      <c r="ALV14" s="56"/>
      <c r="ALW14" s="56"/>
      <c r="ALX14" s="56"/>
      <c r="ALY14" s="56"/>
      <c r="ALZ14" s="56"/>
      <c r="AMA14" s="56"/>
      <c r="AMB14" s="56"/>
      <c r="AMC14" s="56"/>
      <c r="AMD14" s="56"/>
      <c r="AME14" s="56"/>
      <c r="AMF14" s="56"/>
      <c r="AMG14" s="56"/>
      <c r="AMH14" s="56"/>
      <c r="AMI14" s="56"/>
      <c r="AMJ14" s="56"/>
      <c r="AMK14" s="56"/>
      <c r="AML14" s="56"/>
      <c r="AMM14" s="56"/>
      <c r="AMN14" s="56"/>
      <c r="AMO14" s="56"/>
      <c r="AMP14" s="56"/>
      <c r="AMQ14" s="56"/>
      <c r="AMR14" s="56"/>
      <c r="AMS14" s="56"/>
      <c r="AMT14" s="56"/>
      <c r="AMU14" s="56"/>
      <c r="AMV14" s="56"/>
      <c r="AMW14" s="56"/>
      <c r="AMX14" s="56"/>
      <c r="AMY14" s="56"/>
      <c r="AMZ14" s="56"/>
      <c r="ANA14" s="56"/>
      <c r="ANB14" s="56"/>
      <c r="ANC14" s="56"/>
      <c r="AND14" s="56"/>
      <c r="ANE14" s="56"/>
      <c r="ANF14" s="56"/>
      <c r="ANG14" s="56"/>
      <c r="ANH14" s="56"/>
      <c r="ANI14" s="56"/>
      <c r="ANJ14" s="56"/>
      <c r="ANK14" s="56"/>
      <c r="ANL14" s="56"/>
      <c r="ANM14" s="56"/>
      <c r="ANN14" s="56"/>
      <c r="ANO14" s="56"/>
      <c r="ANP14" s="56"/>
      <c r="ANQ14" s="56"/>
      <c r="ANR14" s="56"/>
      <c r="ANS14" s="56"/>
      <c r="ANT14" s="56"/>
      <c r="ANU14" s="56"/>
      <c r="ANV14" s="56"/>
      <c r="ANW14" s="56"/>
      <c r="ANX14" s="56"/>
      <c r="ANY14" s="56"/>
      <c r="ANZ14" s="56"/>
      <c r="AOA14" s="56"/>
      <c r="AOB14" s="56"/>
      <c r="AOC14" s="56"/>
      <c r="AOD14" s="56"/>
      <c r="AOE14" s="56"/>
      <c r="AOF14" s="56"/>
      <c r="AOG14" s="56"/>
      <c r="AOH14" s="56"/>
      <c r="AOI14" s="56"/>
      <c r="AOJ14" s="56"/>
      <c r="AOK14" s="56"/>
      <c r="AOL14" s="56"/>
      <c r="AOM14" s="56"/>
      <c r="AON14" s="56"/>
      <c r="AOO14" s="56"/>
      <c r="AOP14" s="56"/>
      <c r="AOQ14" s="56"/>
      <c r="AOR14" s="56"/>
      <c r="AOS14" s="56"/>
      <c r="AOT14" s="56"/>
      <c r="AOU14" s="56"/>
      <c r="AOV14" s="56"/>
      <c r="AOW14" s="56"/>
      <c r="AOX14" s="56"/>
      <c r="AOY14" s="56"/>
      <c r="AOZ14" s="56"/>
      <c r="APA14" s="56"/>
      <c r="APB14" s="56"/>
      <c r="APC14" s="56"/>
      <c r="APD14" s="56"/>
      <c r="APE14" s="56"/>
      <c r="APF14" s="56"/>
      <c r="APG14" s="56"/>
      <c r="APH14" s="56"/>
      <c r="API14" s="56"/>
      <c r="APJ14" s="56"/>
      <c r="APK14" s="56"/>
      <c r="APL14" s="56"/>
      <c r="APM14" s="56"/>
      <c r="APN14" s="56"/>
      <c r="APO14" s="56"/>
      <c r="APP14" s="56"/>
      <c r="APQ14" s="56"/>
      <c r="APR14" s="56"/>
      <c r="APS14" s="56"/>
      <c r="APT14" s="56"/>
      <c r="APU14" s="56"/>
      <c r="APV14" s="56"/>
      <c r="APW14" s="56"/>
      <c r="APX14" s="56"/>
      <c r="APY14" s="56"/>
      <c r="APZ14" s="56"/>
      <c r="AQA14" s="56"/>
      <c r="AQB14" s="56"/>
      <c r="AQC14" s="56"/>
      <c r="AQD14" s="56"/>
      <c r="AQE14" s="56"/>
      <c r="AQF14" s="56"/>
      <c r="AQG14" s="56"/>
      <c r="AQH14" s="56"/>
      <c r="AQI14" s="56"/>
      <c r="AQJ14" s="56"/>
      <c r="AQK14" s="56"/>
      <c r="AQL14" s="56"/>
      <c r="AQM14" s="56"/>
      <c r="AQN14" s="56"/>
      <c r="AQO14" s="56"/>
      <c r="AQP14" s="56"/>
      <c r="AQQ14" s="56"/>
      <c r="AQR14" s="56"/>
      <c r="AQS14" s="56"/>
      <c r="AQT14" s="56"/>
      <c r="AQU14" s="56"/>
      <c r="AQV14" s="56"/>
      <c r="AQW14" s="56"/>
      <c r="AQX14" s="56"/>
      <c r="AQY14" s="56"/>
      <c r="AQZ14" s="56"/>
      <c r="ARA14" s="56"/>
      <c r="ARB14" s="56"/>
      <c r="ARC14" s="56"/>
      <c r="ARD14" s="56"/>
      <c r="ARE14" s="56"/>
      <c r="ARF14" s="56"/>
      <c r="ARG14" s="56"/>
      <c r="ARH14" s="56"/>
      <c r="ARI14" s="56"/>
      <c r="ARJ14" s="56"/>
      <c r="ARK14" s="56"/>
      <c r="ARL14" s="56"/>
      <c r="ARM14" s="56"/>
      <c r="ARN14" s="56"/>
      <c r="ARO14" s="56"/>
      <c r="ARP14" s="56"/>
      <c r="ARQ14" s="56"/>
      <c r="ARR14" s="56"/>
      <c r="ARS14" s="56"/>
      <c r="ART14" s="56"/>
      <c r="ARU14" s="56"/>
      <c r="ARV14" s="56"/>
      <c r="ARW14" s="56"/>
      <c r="ARX14" s="56"/>
      <c r="ARY14" s="56"/>
      <c r="ARZ14" s="56"/>
      <c r="ASA14" s="56"/>
      <c r="ASB14" s="56"/>
      <c r="ASC14" s="56"/>
      <c r="ASD14" s="56"/>
      <c r="ASE14" s="56"/>
      <c r="ASF14" s="56"/>
      <c r="ASG14" s="56"/>
      <c r="ASH14" s="56"/>
      <c r="ASI14" s="56"/>
      <c r="ASJ14" s="56"/>
      <c r="ASK14" s="56"/>
      <c r="ASL14" s="56"/>
      <c r="ASM14" s="56"/>
      <c r="ASN14" s="56"/>
      <c r="ASO14" s="56"/>
      <c r="ASP14" s="56"/>
      <c r="ASQ14" s="56"/>
      <c r="ASR14" s="56"/>
      <c r="ASS14" s="56"/>
      <c r="AST14" s="56"/>
      <c r="ASU14" s="56"/>
      <c r="ASV14" s="56"/>
      <c r="ASW14" s="56"/>
      <c r="ASX14" s="56"/>
      <c r="ASY14" s="56"/>
      <c r="ASZ14" s="56"/>
      <c r="ATA14" s="56"/>
      <c r="ATB14" s="56"/>
      <c r="ATC14" s="56"/>
      <c r="ATD14" s="56"/>
      <c r="ATE14" s="56"/>
      <c r="ATF14" s="56"/>
      <c r="ATG14" s="56"/>
      <c r="ATH14" s="56"/>
      <c r="ATI14" s="56"/>
      <c r="ATJ14" s="56"/>
      <c r="ATK14" s="56"/>
      <c r="ATL14" s="56"/>
      <c r="ATM14" s="56"/>
      <c r="ATN14" s="56"/>
      <c r="ATO14" s="56"/>
      <c r="ATP14" s="56"/>
      <c r="ATQ14" s="56"/>
      <c r="ATR14" s="56"/>
      <c r="ATS14" s="56"/>
      <c r="ATT14" s="56"/>
      <c r="ATU14" s="56"/>
      <c r="ATV14" s="56"/>
      <c r="ATW14" s="56"/>
      <c r="ATX14" s="56"/>
      <c r="ATY14" s="56"/>
      <c r="ATZ14" s="56"/>
      <c r="AUA14" s="56"/>
      <c r="AUB14" s="56"/>
      <c r="AUC14" s="56"/>
      <c r="AUD14" s="56"/>
      <c r="AUE14" s="56"/>
      <c r="AUF14" s="56"/>
      <c r="AUG14" s="56"/>
      <c r="AUH14" s="56"/>
      <c r="AUI14" s="56"/>
      <c r="AUJ14" s="56"/>
      <c r="AUK14" s="56"/>
      <c r="AUL14" s="56"/>
      <c r="AUM14" s="56"/>
      <c r="AUN14" s="56"/>
      <c r="AUO14" s="56"/>
      <c r="AUP14" s="56"/>
      <c r="AUQ14" s="56"/>
      <c r="AUR14" s="56"/>
      <c r="AUS14" s="56"/>
      <c r="AUT14" s="56"/>
      <c r="AUU14" s="56"/>
      <c r="AUV14" s="56"/>
      <c r="AUW14" s="56"/>
      <c r="AUX14" s="56"/>
      <c r="AUY14" s="56"/>
      <c r="AUZ14" s="56"/>
      <c r="AVA14" s="56"/>
      <c r="AVB14" s="56"/>
      <c r="AVC14" s="56"/>
      <c r="AVD14" s="56"/>
      <c r="AVE14" s="56"/>
      <c r="AVF14" s="56"/>
      <c r="AVG14" s="56"/>
      <c r="AVH14" s="56"/>
      <c r="AVI14" s="56"/>
      <c r="AVJ14" s="56"/>
      <c r="AVK14" s="56"/>
      <c r="AVL14" s="56"/>
      <c r="AVM14" s="56"/>
      <c r="AVN14" s="56"/>
      <c r="AVO14" s="56"/>
      <c r="AVP14" s="56"/>
      <c r="AVQ14" s="56"/>
      <c r="AVR14" s="56"/>
      <c r="AVS14" s="56"/>
      <c r="AVT14" s="56"/>
      <c r="AVU14" s="56"/>
      <c r="AVV14" s="56"/>
      <c r="AVW14" s="56"/>
      <c r="AVX14" s="56"/>
      <c r="AVY14" s="56"/>
      <c r="AVZ14" s="56"/>
      <c r="AWA14" s="56"/>
      <c r="AWB14" s="56"/>
      <c r="AWC14" s="56"/>
      <c r="AWD14" s="56"/>
      <c r="AWE14" s="56"/>
      <c r="AWF14" s="56"/>
      <c r="AWG14" s="56"/>
      <c r="AWH14" s="56"/>
      <c r="AWI14" s="56"/>
      <c r="AWJ14" s="56"/>
      <c r="AWK14" s="56"/>
      <c r="AWL14" s="56"/>
      <c r="AWM14" s="56"/>
      <c r="AWN14" s="56"/>
      <c r="AWO14" s="56"/>
      <c r="AWP14" s="56"/>
      <c r="AWQ14" s="56"/>
      <c r="AWR14" s="56"/>
      <c r="AWS14" s="56"/>
      <c r="AWT14" s="56"/>
    </row>
    <row r="15" spans="1:1294" s="79" customFormat="1" ht="19.05" customHeight="1">
      <c r="A15" s="64"/>
      <c r="B15" s="529"/>
      <c r="C15" s="83" t="s">
        <v>83</v>
      </c>
      <c r="D15" s="537"/>
      <c r="E15" s="91">
        <f>COUNTIFS(Table13514520105[[#All],[Sales]],"คุณธวัช มีแสง",Table13514520105[[#All],[ค่าขายอุปกรณ์]],"&gt;1")</f>
        <v>0</v>
      </c>
      <c r="F15" s="86">
        <f>SUMIF(Table13514520105[[#All],[Sales]],"คุณธวัช มีแสง",Table13514520105[[#All],[Total
คอมฯ อุปกรณ์]])</f>
        <v>0</v>
      </c>
      <c r="G15" s="86">
        <f t="shared" si="0"/>
        <v>0</v>
      </c>
      <c r="H15" s="86">
        <f t="shared" ref="H15:H16" si="12">SUM(F15-G15)</f>
        <v>0</v>
      </c>
      <c r="I15" s="62"/>
      <c r="J15" s="88"/>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row>
    <row r="16" spans="1:1294" s="79" customFormat="1" ht="19.05" customHeight="1">
      <c r="A16" s="64"/>
      <c r="B16" s="529"/>
      <c r="C16" s="83" t="s">
        <v>84</v>
      </c>
      <c r="D16" s="537"/>
      <c r="E16" s="91">
        <f>COUNTIFS(Table13514520105[[#All],[Sales]],"คุณแดง มูลสองแคว",Table13514520105[[#All],[ค่าขายอุปกรณ์]],"&gt;1")</f>
        <v>0</v>
      </c>
      <c r="F16" s="86">
        <f>SUMIF(Table13514520105[[#All],[Sales]],"คุณแดง มูลสองแคว",Table13514520105[[#All],[Total
คอมฯ อุปกรณ์]])</f>
        <v>0</v>
      </c>
      <c r="G16" s="86">
        <f t="shared" si="0"/>
        <v>0</v>
      </c>
      <c r="H16" s="86">
        <f t="shared" si="12"/>
        <v>0</v>
      </c>
      <c r="I16" s="62"/>
      <c r="J16" s="88"/>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c r="II16" s="56"/>
      <c r="IJ16" s="56"/>
      <c r="IK16" s="56"/>
    </row>
    <row r="17" spans="1:245" s="79" customFormat="1" ht="19.05" customHeight="1">
      <c r="A17" s="64"/>
      <c r="B17" s="529"/>
      <c r="C17" s="172" t="s">
        <v>85</v>
      </c>
      <c r="D17" s="537"/>
      <c r="E17" s="91">
        <f>COUNTIFS(Table13514520105[[#All],[Sales]],"คุณนิยนต์ อยู่ทะเล",Table13514520105[[#All],[ค่าขายอุปกรณ์]],"&gt;1")</f>
        <v>0</v>
      </c>
      <c r="F17" s="86">
        <f>SUMIF(Table13514520105[[#All],[Sales]],"คุณนิยนต์ อยู่ทะเล",Table13514520105[[#All],[Total
คอมฯ อุปกรณ์]])</f>
        <v>0</v>
      </c>
      <c r="G17" s="86">
        <f t="shared" ref="G17" si="13">F17*$G$3</f>
        <v>0</v>
      </c>
      <c r="H17" s="86">
        <f t="shared" ref="H17" si="14">SUM(F17-G17)</f>
        <v>0</v>
      </c>
      <c r="I17" s="62"/>
      <c r="J17" s="88"/>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row>
    <row r="18" spans="1:245" s="79" customFormat="1" ht="19.05" customHeight="1">
      <c r="A18" s="64"/>
      <c r="B18" s="529"/>
      <c r="C18" s="180" t="s">
        <v>78</v>
      </c>
      <c r="D18" s="537"/>
      <c r="E18" s="91">
        <f>COUNTIFS(Table13514520105[[#All],[Sales]],"คุณรุ่งอรุณ อินบุญรอด",Table13514520105[[#All],[ค่าขายอุปกรณ์]],"&gt;1")</f>
        <v>0</v>
      </c>
      <c r="F18" s="86">
        <f>SUMIF(Table13514520105[[#All],[Sales]],"คุณรุ่งอรุณ อินบุญรอด",Table13514520105[[#All],[Total
คอมฯ อุปกรณ์]])</f>
        <v>0</v>
      </c>
      <c r="G18" s="86">
        <f t="shared" ref="G18" si="15">F18*$G$3</f>
        <v>0</v>
      </c>
      <c r="H18" s="86">
        <f t="shared" ref="H18" si="16">SUM(F18-G18)</f>
        <v>0</v>
      </c>
      <c r="I18" s="62"/>
      <c r="J18" s="88"/>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c r="GF18" s="56"/>
      <c r="GG18" s="56"/>
      <c r="GH18" s="56"/>
      <c r="GI18" s="56"/>
      <c r="GJ18" s="56"/>
      <c r="GK18" s="56"/>
      <c r="GL18" s="56"/>
      <c r="GM18" s="56"/>
      <c r="GN18" s="56"/>
      <c r="GO18" s="56"/>
      <c r="GP18" s="56"/>
      <c r="GQ18" s="56"/>
      <c r="GR18" s="56"/>
      <c r="GS18" s="56"/>
      <c r="GT18" s="56"/>
      <c r="GU18" s="56"/>
      <c r="GV18" s="56"/>
      <c r="GW18" s="56"/>
      <c r="GX18" s="56"/>
      <c r="GY18" s="56"/>
      <c r="GZ18" s="56"/>
      <c r="HA18" s="56"/>
      <c r="HB18" s="56"/>
      <c r="HC18" s="56"/>
      <c r="HD18" s="56"/>
      <c r="HE18" s="56"/>
      <c r="HF18" s="56"/>
      <c r="HG18" s="56"/>
      <c r="HH18" s="56"/>
      <c r="HI18" s="56"/>
      <c r="HJ18" s="56"/>
      <c r="HK18" s="56"/>
      <c r="HL18" s="56"/>
      <c r="HM18" s="56"/>
      <c r="HN18" s="56"/>
      <c r="HO18" s="56"/>
      <c r="HP18" s="56"/>
      <c r="HQ18" s="56"/>
      <c r="HR18" s="56"/>
      <c r="HS18" s="56"/>
      <c r="HT18" s="56"/>
      <c r="HU18" s="56"/>
      <c r="HV18" s="56"/>
      <c r="HW18" s="56"/>
      <c r="HX18" s="56"/>
      <c r="HY18" s="56"/>
      <c r="HZ18" s="56"/>
      <c r="IA18" s="56"/>
      <c r="IB18" s="56"/>
      <c r="IC18" s="56"/>
      <c r="ID18" s="56"/>
      <c r="IE18" s="56"/>
      <c r="IF18" s="56"/>
      <c r="IG18" s="56"/>
      <c r="IH18" s="56"/>
      <c r="II18" s="56"/>
      <c r="IJ18" s="56"/>
      <c r="IK18" s="56"/>
    </row>
    <row r="19" spans="1:245" s="79" customFormat="1" ht="19.05" customHeight="1">
      <c r="A19" s="64"/>
      <c r="B19" s="529"/>
      <c r="C19" s="359" t="s">
        <v>79</v>
      </c>
      <c r="D19" s="537"/>
      <c r="E19" s="91">
        <f>COUNTIFS(Table13514520105[[#All],[Sales]],"คุณศศินาถ จุ้ยอยู่ทอง",Table13514520105[[#All],[ค่าขายอุปกรณ์]],"&gt;1")</f>
        <v>0</v>
      </c>
      <c r="F19" s="86">
        <f>SUMIF(Table13514520105[[#All],[Sales]],"คุณศศินาถ จุ้ยอยู่ทอง",Table13514520105[[#All],[Total
คอมฯ อุปกรณ์]])</f>
        <v>0</v>
      </c>
      <c r="G19" s="86">
        <f>F19*$G$3</f>
        <v>0</v>
      </c>
      <c r="H19" s="86">
        <f t="shared" ref="H19:H20" si="17">SUM(F19-G19)</f>
        <v>0</v>
      </c>
      <c r="I19" s="62"/>
      <c r="J19" s="88"/>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row>
    <row r="20" spans="1:245" s="79" customFormat="1" ht="19.05" customHeight="1">
      <c r="A20" s="64"/>
      <c r="B20" s="529"/>
      <c r="C20" s="359" t="s">
        <v>103</v>
      </c>
      <c r="D20" s="537"/>
      <c r="E20" s="91">
        <f>COUNTIFS(Table13514520105[[#All],[Sales]],"คุณณรงศ์ศักย์ เหล่ารัตนเวช",Table13514520105[[#All],[ค่าขายอุปกรณ์]],"&gt;1")</f>
        <v>0</v>
      </c>
      <c r="F20" s="86">
        <f>SUMIF(Table13514520105[[#All],[Sales]],"คุณณรงศ์ศักย์ เหล่ารัตนเวช",Table13514520105[[#All],[Total
คอมฯ อุปกรณ์]])</f>
        <v>0</v>
      </c>
      <c r="G20" s="86">
        <f t="shared" ref="G20" si="18">F20*$G$3</f>
        <v>0</v>
      </c>
      <c r="H20" s="86">
        <f t="shared" si="17"/>
        <v>0</v>
      </c>
      <c r="I20" s="62"/>
      <c r="J20" s="88"/>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6"/>
      <c r="GO20" s="56"/>
      <c r="GP20" s="56"/>
      <c r="GQ20" s="56"/>
      <c r="GR20" s="56"/>
      <c r="GS20" s="56"/>
      <c r="GT20" s="56"/>
      <c r="GU20" s="56"/>
      <c r="GV20" s="56"/>
      <c r="GW20" s="56"/>
      <c r="GX20" s="56"/>
      <c r="GY20" s="56"/>
      <c r="GZ20" s="56"/>
      <c r="HA20" s="56"/>
      <c r="HB20" s="56"/>
      <c r="HC20" s="56"/>
      <c r="HD20" s="56"/>
      <c r="HE20" s="56"/>
      <c r="HF20" s="56"/>
      <c r="HG20" s="56"/>
      <c r="HH20" s="56"/>
      <c r="HI20" s="56"/>
      <c r="HJ20" s="56"/>
      <c r="HK20" s="56"/>
      <c r="HL20" s="56"/>
      <c r="HM20" s="56"/>
      <c r="HN20" s="56"/>
      <c r="HO20" s="56"/>
      <c r="HP20" s="56"/>
      <c r="HQ20" s="56"/>
      <c r="HR20" s="56"/>
      <c r="HS20" s="56"/>
      <c r="HT20" s="56"/>
      <c r="HU20" s="56"/>
      <c r="HV20" s="56"/>
      <c r="HW20" s="56"/>
      <c r="HX20" s="56"/>
      <c r="HY20" s="56"/>
      <c r="HZ20" s="56"/>
      <c r="IA20" s="56"/>
      <c r="IB20" s="56"/>
      <c r="IC20" s="56"/>
      <c r="ID20" s="56"/>
      <c r="IE20" s="56"/>
      <c r="IF20" s="56"/>
      <c r="IG20" s="56"/>
      <c r="IH20" s="56"/>
      <c r="II20" s="56"/>
      <c r="IJ20" s="56"/>
      <c r="IK20" s="56"/>
    </row>
    <row r="21" spans="1:245" s="79" customFormat="1" ht="19.05" customHeight="1">
      <c r="A21" s="64"/>
      <c r="B21" s="529"/>
      <c r="C21" s="358" t="s">
        <v>168</v>
      </c>
      <c r="D21" s="537"/>
      <c r="E21" s="91">
        <f>COUNTIFS(Table13514520105[[#All],[Sales]],"คุณชนัฐฎา สนคะมี",Table13514520105[[#All],[ค่าขายอุปกรณ์]],"&gt;1")</f>
        <v>0</v>
      </c>
      <c r="F21" s="86">
        <f>SUMIF(Table13514520105[[#All],[Sales]],"คุณชนัฐฎา สนคะมี",Table13514520105[[#All],[Total
คอมฯ อุปกรณ์]])</f>
        <v>0</v>
      </c>
      <c r="G21" s="86">
        <f t="shared" ref="G21" si="19">F21*$G$3</f>
        <v>0</v>
      </c>
      <c r="H21" s="86">
        <f t="shared" ref="H21" si="20">SUM(F21-G21)</f>
        <v>0</v>
      </c>
      <c r="I21" s="62"/>
      <c r="J21" s="88"/>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6"/>
      <c r="GT21" s="56"/>
      <c r="GU21" s="56"/>
      <c r="GV21" s="56"/>
      <c r="GW21" s="56"/>
      <c r="GX21" s="56"/>
      <c r="GY21" s="56"/>
      <c r="GZ21" s="56"/>
      <c r="HA21" s="56"/>
      <c r="HB21" s="56"/>
      <c r="HC21" s="56"/>
      <c r="HD21" s="56"/>
      <c r="HE21" s="56"/>
      <c r="HF21" s="56"/>
      <c r="HG21" s="56"/>
      <c r="HH21" s="56"/>
      <c r="HI21" s="56"/>
      <c r="HJ21" s="56"/>
      <c r="HK21" s="56"/>
      <c r="HL21" s="56"/>
      <c r="HM21" s="56"/>
      <c r="HN21" s="56"/>
      <c r="HO21" s="56"/>
      <c r="HP21" s="56"/>
      <c r="HQ21" s="56"/>
      <c r="HR21" s="56"/>
      <c r="HS21" s="56"/>
      <c r="HT21" s="56"/>
      <c r="HU21" s="56"/>
      <c r="HV21" s="56"/>
      <c r="HW21" s="56"/>
      <c r="HX21" s="56"/>
      <c r="HY21" s="56"/>
      <c r="HZ21" s="56"/>
      <c r="IA21" s="56"/>
      <c r="IB21" s="56"/>
      <c r="IC21" s="56"/>
      <c r="ID21" s="56"/>
      <c r="IE21" s="56"/>
      <c r="IF21" s="56"/>
      <c r="IG21" s="56"/>
      <c r="IH21" s="56"/>
      <c r="II21" s="56"/>
      <c r="IJ21" s="56"/>
      <c r="IK21" s="56"/>
    </row>
    <row r="22" spans="1:245" s="79" customFormat="1" ht="19.05" customHeight="1">
      <c r="A22" s="81"/>
      <c r="B22" s="529"/>
      <c r="C22" s="84" t="s">
        <v>81</v>
      </c>
      <c r="D22" s="538"/>
      <c r="E22" s="91">
        <f>COUNTIFS(Table13514520105[[#All],[Sales]],"คุณธัญลักษณ์ หมื่นหลุบกุง",Table13514520105[[#All],[ค่าขายอุปกรณ์]],"&gt;1")</f>
        <v>0</v>
      </c>
      <c r="F22" s="86">
        <f>SUMIF(Table13514520105[[#All],[Sales]],"คุณธัญลักษณ์ หมื่นหลุบกุง",Table13514520105[[#All],[Total
คอมฯ อุปกรณ์]])</f>
        <v>0</v>
      </c>
      <c r="G22" s="86">
        <f t="shared" ref="G22:G23" si="21">F22*$G$3</f>
        <v>0</v>
      </c>
      <c r="H22" s="86">
        <f t="shared" ref="H22" si="22">SUM(F22-G22)</f>
        <v>0</v>
      </c>
      <c r="I22" s="62"/>
      <c r="J22" s="62"/>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56"/>
      <c r="FU22" s="56"/>
      <c r="FV22" s="56"/>
      <c r="FW22" s="56"/>
      <c r="FX22" s="56"/>
      <c r="FY22" s="56"/>
      <c r="FZ22" s="56"/>
      <c r="GA22" s="56"/>
      <c r="GB22" s="56"/>
      <c r="GC22" s="56"/>
      <c r="GD22" s="56"/>
      <c r="GE22" s="56"/>
      <c r="GF22" s="56"/>
      <c r="GG22" s="56"/>
      <c r="GH22" s="56"/>
      <c r="GI22" s="56"/>
      <c r="GJ22" s="56"/>
      <c r="GK22" s="56"/>
      <c r="GL22" s="56"/>
      <c r="GM22" s="56"/>
      <c r="GN22" s="56"/>
      <c r="GO22" s="56"/>
      <c r="GP22" s="56"/>
      <c r="GQ22" s="56"/>
      <c r="GR22" s="56"/>
      <c r="GS22" s="56"/>
      <c r="GT22" s="56"/>
      <c r="GU22" s="56"/>
      <c r="GV22" s="56"/>
      <c r="GW22" s="56"/>
      <c r="GX22" s="56"/>
      <c r="GY22" s="56"/>
      <c r="GZ22" s="56"/>
      <c r="HA22" s="56"/>
      <c r="HB22" s="56"/>
      <c r="HC22" s="56"/>
      <c r="HD22" s="56"/>
      <c r="HE22" s="56"/>
      <c r="HF22" s="56"/>
      <c r="HG22" s="56"/>
      <c r="HH22" s="56"/>
      <c r="HI22" s="56"/>
      <c r="HJ22" s="56"/>
      <c r="HK22" s="56"/>
      <c r="HL22" s="56"/>
      <c r="HM22" s="56"/>
      <c r="HN22" s="56"/>
      <c r="HO22" s="56"/>
      <c r="HP22" s="56"/>
      <c r="HQ22" s="56"/>
      <c r="HR22" s="56"/>
      <c r="HS22" s="56"/>
      <c r="HT22" s="56"/>
      <c r="HU22" s="56"/>
      <c r="HV22" s="56"/>
      <c r="HW22" s="56"/>
      <c r="HX22" s="56"/>
      <c r="HY22" s="56"/>
      <c r="HZ22" s="56"/>
      <c r="IA22" s="56"/>
      <c r="IB22" s="56"/>
      <c r="IC22" s="56"/>
      <c r="ID22" s="56"/>
      <c r="IE22" s="56"/>
      <c r="IF22" s="56"/>
      <c r="IG22" s="56"/>
      <c r="IH22" s="56"/>
      <c r="II22" s="56"/>
      <c r="IJ22" s="56"/>
      <c r="IK22" s="56"/>
    </row>
    <row r="23" spans="1:245" s="56" customFormat="1" ht="19.05" customHeight="1">
      <c r="A23" s="80">
        <v>3</v>
      </c>
      <c r="B23" s="530" t="s">
        <v>20</v>
      </c>
      <c r="C23" s="83" t="s">
        <v>82</v>
      </c>
      <c r="D23" s="519" t="s">
        <v>27</v>
      </c>
      <c r="E23" s="91">
        <f>COUNTIFS(Table13514520105[[#All],[Sales]],"คุณนิมิต จุ้ยอยู่ทอง",Table13514520105[[#All],[Total 
คอมฯค่าติดตั้ง/ค่าเชื่อมสัญญาณ]],"&gt;1")</f>
        <v>0</v>
      </c>
      <c r="F23" s="86">
        <f>SUMIF(Table13514520105[[#All],[Sales]],"คุณนิมิต จุ้ยอยู่ทอง",Table13514520105[[#All],[Total 
คอมฯค่าติดตั้ง/ค่าเชื่อมสัญญาณ]])</f>
        <v>0</v>
      </c>
      <c r="G23" s="86">
        <f t="shared" si="21"/>
        <v>0</v>
      </c>
      <c r="H23" s="86">
        <f>SUM(F23-G23)</f>
        <v>0</v>
      </c>
      <c r="I23" s="62"/>
      <c r="J23" s="65"/>
    </row>
    <row r="24" spans="1:245" s="56" customFormat="1" ht="19.05" customHeight="1">
      <c r="A24" s="64"/>
      <c r="B24" s="530"/>
      <c r="C24" s="85" t="s">
        <v>83</v>
      </c>
      <c r="D24" s="520"/>
      <c r="E24" s="91">
        <f>COUNTIFS(Table13514520105[[#All],[Sales]],"คุณธวัช มีแสง",Table13514520105[[#All],[Total 
คอมฯค่าติดตั้ง/ค่าเชื่อมสัญญาณ]],"&gt;1")</f>
        <v>0</v>
      </c>
      <c r="F24" s="86">
        <f>SUMIF(Table13514520105[[#All],[Sales]],"คุณธวัช มีแสง",Table13514520105[[#All],[Total 
คอมฯค่าติดตั้ง/ค่าเชื่อมสัญญาณ]])</f>
        <v>0</v>
      </c>
      <c r="G24" s="86">
        <f t="shared" ref="G24:G31" si="23">F24*$G$3</f>
        <v>0</v>
      </c>
      <c r="H24" s="86">
        <f t="shared" ref="H24:H31" si="24">SUM(F24-G24)</f>
        <v>0</v>
      </c>
      <c r="I24" s="62"/>
      <c r="J24" s="65"/>
    </row>
    <row r="25" spans="1:245" s="56" customFormat="1" ht="19.05" customHeight="1">
      <c r="A25" s="64"/>
      <c r="B25" s="530"/>
      <c r="C25" s="85" t="s">
        <v>84</v>
      </c>
      <c r="D25" s="520"/>
      <c r="E25" s="91">
        <f>COUNTIFS(Table13514520105[[#All],[Sales]],"คุณแดง มูลสองแคว",Table13514520105[[#All],[Total 
คอมฯค่าติดตั้ง/ค่าเชื่อมสัญญาณ]],"&gt;1")</f>
        <v>0</v>
      </c>
      <c r="F25" s="86">
        <f>SUMIF(Table13514520105[[#All],[Sales]],"คุณแดง มูลสองแคว",Table13514520105[[#All],[Total 
คอมฯค่าติดตั้ง/ค่าเชื่อมสัญญาณ]])</f>
        <v>0</v>
      </c>
      <c r="G25" s="86">
        <f t="shared" si="23"/>
        <v>0</v>
      </c>
      <c r="H25" s="86">
        <f t="shared" si="24"/>
        <v>0</v>
      </c>
      <c r="I25" s="62"/>
      <c r="J25" s="65"/>
    </row>
    <row r="26" spans="1:245" s="56" customFormat="1" ht="19.05" customHeight="1">
      <c r="A26" s="64"/>
      <c r="B26" s="531"/>
      <c r="C26" s="172" t="s">
        <v>85</v>
      </c>
      <c r="D26" s="520"/>
      <c r="E26" s="91">
        <f>COUNTIFS(Table13514520105[[#All],[Sales]],"คุณนิยนต์ อยู่ทะเล",Table13514520105[[#All],[Total 
คอมฯค่าติดตั้ง/ค่าเชื่อมสัญญาณ]],"&gt;1")</f>
        <v>0</v>
      </c>
      <c r="F26" s="86">
        <f>SUMIF(Table13514520105[[#All],[Sales]],"คุณนิยนต์ อยู่ทะเล",Table13514520105[[#All],[Total 
คอมฯค่าติดตั้ง/ค่าเชื่อมสัญญาณ]])</f>
        <v>0</v>
      </c>
      <c r="G26" s="86">
        <f t="shared" si="23"/>
        <v>0</v>
      </c>
      <c r="H26" s="86">
        <f t="shared" si="24"/>
        <v>0</v>
      </c>
      <c r="I26" s="62"/>
      <c r="J26" s="65"/>
    </row>
    <row r="27" spans="1:245" s="56" customFormat="1" ht="19.05" customHeight="1">
      <c r="A27" s="64"/>
      <c r="B27" s="532"/>
      <c r="C27" s="180" t="s">
        <v>78</v>
      </c>
      <c r="D27" s="520"/>
      <c r="E27" s="91">
        <f>COUNTIFS(Table13514520105[[#All],[Sales]],"คุณรุ่งอรุณ อินบุญรอด",Table13514520105[[#All],[Total 
คอมฯค่าติดตั้ง/ค่าเชื่อมสัญญาณ]],"&gt;1")</f>
        <v>0</v>
      </c>
      <c r="F27" s="86">
        <f>SUMIF(Table13514520105[[#All],[Sales]],"คุณรุ่งอรุณ อินบุญรอด",Table13514520105[[#All],[Total 
คอมฯค่าติดตั้ง/ค่าเชื่อมสัญญาณ]])</f>
        <v>0</v>
      </c>
      <c r="G27" s="86">
        <f t="shared" si="23"/>
        <v>0</v>
      </c>
      <c r="H27" s="86">
        <f t="shared" si="24"/>
        <v>0</v>
      </c>
      <c r="I27" s="62"/>
      <c r="J27" s="65"/>
    </row>
    <row r="28" spans="1:245" s="56" customFormat="1" ht="19.05" customHeight="1">
      <c r="A28" s="64"/>
      <c r="B28" s="533"/>
      <c r="C28" s="359" t="s">
        <v>79</v>
      </c>
      <c r="D28" s="520"/>
      <c r="E28" s="91">
        <f>COUNTIFS(Table13514520105[[#All],[Sales]],"คุณศศินาถ จุ้ยอยู่ทอง",Table13514520105[[#All],[Total 
คอมฯค่าติดตั้ง/ค่าเชื่อมสัญญาณ]],"&gt;1")</f>
        <v>0</v>
      </c>
      <c r="F28" s="86">
        <f>SUMIF(Table13514520105[[#All],[Sales]],"คุณศศินาถ จุ้ยอยู่ทอง",Table13514520105[[#All],[Total 
คอมฯค่าติดตั้ง/ค่าเชื่อมสัญญาณ]])</f>
        <v>0</v>
      </c>
      <c r="G28" s="86">
        <f t="shared" si="23"/>
        <v>0</v>
      </c>
      <c r="H28" s="86">
        <f t="shared" si="24"/>
        <v>0</v>
      </c>
      <c r="I28" s="62"/>
      <c r="J28" s="65"/>
    </row>
    <row r="29" spans="1:245" s="56" customFormat="1" ht="19.05" customHeight="1">
      <c r="A29" s="64"/>
      <c r="B29" s="533"/>
      <c r="C29" s="359" t="s">
        <v>103</v>
      </c>
      <c r="D29" s="520"/>
      <c r="E29" s="91">
        <f>COUNTIFS(Table13514520105[[#All],[Sales]],"คุณณรงศ์ศักย์ เหล่ารัตนเวช",Table13514520105[[#All],[Total 
คอมฯค่าติดตั้ง/ค่าเชื่อมสัญญาณ]],"&gt;1")</f>
        <v>0</v>
      </c>
      <c r="F29" s="86">
        <f>SUMIF(Table13514520105[[#All],[Sales]],"คุณณรงศ์ศักย์ เหล่ารัตนเวช",Table13514520105[[#All],[Total 
คอมฯค่าติดตั้ง/ค่าเชื่อมสัญญาณ]])</f>
        <v>0</v>
      </c>
      <c r="G29" s="86">
        <f t="shared" si="23"/>
        <v>0</v>
      </c>
      <c r="H29" s="86">
        <f t="shared" si="24"/>
        <v>0</v>
      </c>
      <c r="I29" s="62"/>
      <c r="J29" s="65"/>
    </row>
    <row r="30" spans="1:245" s="56" customFormat="1" ht="19.05" customHeight="1">
      <c r="A30" s="64"/>
      <c r="B30" s="533"/>
      <c r="C30" s="358" t="s">
        <v>168</v>
      </c>
      <c r="D30" s="520"/>
      <c r="E30" s="91">
        <f>COUNTIFS(Table13514520105[[#All],[Sales]],"คุณชนัฐฎา สนคะมี",Table13514520105[[#All],[Total 
คอมฯค่าติดตั้ง/ค่าเชื่อมสัญญาณ]],"&gt;1")</f>
        <v>0</v>
      </c>
      <c r="F30" s="86">
        <f>SUMIF(Table13514520105[[#All],[Sales]],"คุณชนัฐฎา สนคะมี",Table13514520105[[#All],[Total 
คอมฯค่าติดตั้ง/ค่าเชื่อมสัญญาณ]])</f>
        <v>0</v>
      </c>
      <c r="G30" s="86">
        <f t="shared" ref="G30" si="25">F30*$G$3</f>
        <v>0</v>
      </c>
      <c r="H30" s="86">
        <f t="shared" ref="H30" si="26">SUM(F30-G30)</f>
        <v>0</v>
      </c>
      <c r="I30" s="62"/>
      <c r="J30" s="65"/>
    </row>
    <row r="31" spans="1:245" s="56" customFormat="1" ht="19.05" customHeight="1">
      <c r="A31" s="64"/>
      <c r="B31" s="530"/>
      <c r="C31" s="155" t="s">
        <v>81</v>
      </c>
      <c r="D31" s="521"/>
      <c r="E31" s="91">
        <f>COUNTIFS(Table13514520105[[#All],[Sales]],"คุณธัญลักษณ์ หมื่นหลุบกุง",Table13514520105[[#All],[Total 
คอมฯค่าติดตั้ง/ค่าเชื่อมสัญญาณ]],"&gt;1")</f>
        <v>0</v>
      </c>
      <c r="F31" s="86">
        <f>SUMIF(Table13514520105[[#All],[Sales]],"คุณธัญลักษณ์ หมื่นหลุบกุง",Table13514520105[[#All],[Total 
คอมฯค่าติดตั้ง/ค่าเชื่อมสัญญาณ]])</f>
        <v>0</v>
      </c>
      <c r="G31" s="86">
        <f t="shared" si="23"/>
        <v>0</v>
      </c>
      <c r="H31" s="86">
        <f t="shared" si="24"/>
        <v>0</v>
      </c>
      <c r="I31" s="65"/>
      <c r="J31" s="65"/>
    </row>
    <row r="32" spans="1:245" s="56" customFormat="1" ht="21" customHeight="1">
      <c r="A32" s="66"/>
      <c r="B32" s="67" t="s">
        <v>12</v>
      </c>
      <c r="C32" s="67"/>
      <c r="D32" s="67"/>
      <c r="E32" s="68">
        <f t="shared" ref="E32:H32" si="27">SUM(E5:E31)</f>
        <v>4</v>
      </c>
      <c r="F32" s="68">
        <f t="shared" si="27"/>
        <v>18542.060000000001</v>
      </c>
      <c r="G32" s="68">
        <f t="shared" si="27"/>
        <v>0</v>
      </c>
      <c r="H32" s="82">
        <f t="shared" si="27"/>
        <v>18542.060000000001</v>
      </c>
      <c r="I32" s="65"/>
      <c r="J32" s="65"/>
    </row>
    <row r="33" spans="2:13" s="56" customFormat="1" ht="13.95" customHeight="1">
      <c r="B33" s="96"/>
      <c r="C33" s="96"/>
      <c r="D33" s="96"/>
      <c r="E33" s="97"/>
      <c r="F33" s="97"/>
      <c r="G33" s="97"/>
      <c r="H33" s="109"/>
      <c r="I33" s="97"/>
    </row>
    <row r="34" spans="2:13" s="56" customFormat="1" ht="7.95" customHeight="1">
      <c r="B34" s="96"/>
      <c r="C34" s="96"/>
      <c r="D34" s="96"/>
      <c r="E34" s="97"/>
      <c r="F34" s="97"/>
      <c r="G34" s="97"/>
      <c r="H34" s="97"/>
      <c r="I34" s="97"/>
    </row>
    <row r="35" spans="2:13" ht="19.95" customHeight="1">
      <c r="B35" s="522" t="s">
        <v>106</v>
      </c>
      <c r="C35" s="522"/>
      <c r="D35" s="522"/>
      <c r="E35" s="522"/>
      <c r="F35" s="522"/>
      <c r="G35" s="522"/>
      <c r="H35" s="522"/>
      <c r="I35" s="522"/>
      <c r="J35" s="522"/>
      <c r="K35" s="522"/>
      <c r="L35" s="522"/>
      <c r="M35" s="522"/>
    </row>
    <row r="36" spans="2:13" s="56" customFormat="1" ht="14.55" customHeight="1">
      <c r="B36" s="522"/>
      <c r="C36" s="522"/>
      <c r="D36" s="522"/>
      <c r="E36" s="522"/>
      <c r="F36" s="522"/>
      <c r="G36" s="522"/>
      <c r="H36" s="522"/>
      <c r="I36" s="522"/>
      <c r="J36" s="522"/>
      <c r="K36" s="522"/>
      <c r="L36" s="522"/>
      <c r="M36" s="522"/>
    </row>
    <row r="37" spans="2:13" s="369" customFormat="1" ht="70.2" customHeight="1">
      <c r="B37" s="385" t="s">
        <v>42</v>
      </c>
      <c r="C37" s="385" t="s">
        <v>13</v>
      </c>
      <c r="D37" s="385" t="s">
        <v>35</v>
      </c>
      <c r="E37" s="386" t="s">
        <v>33</v>
      </c>
      <c r="F37" s="386" t="s">
        <v>15</v>
      </c>
      <c r="G37" s="386" t="s">
        <v>34</v>
      </c>
      <c r="H37" s="387" t="s">
        <v>32</v>
      </c>
      <c r="I37" s="385" t="s">
        <v>30</v>
      </c>
      <c r="J37" s="387" t="s">
        <v>66</v>
      </c>
      <c r="K37" s="385" t="s">
        <v>67</v>
      </c>
      <c r="L37" s="388" t="s">
        <v>89</v>
      </c>
      <c r="M37" s="381" t="s">
        <v>90</v>
      </c>
    </row>
    <row r="38" spans="2:13" ht="19.95" customHeight="1">
      <c r="B38" s="364" t="s">
        <v>23</v>
      </c>
      <c r="C38" s="361" t="s">
        <v>91</v>
      </c>
      <c r="D38" s="365" t="s">
        <v>82</v>
      </c>
      <c r="E38" s="400">
        <f>SUM(G65)</f>
        <v>3406.5450000000001</v>
      </c>
      <c r="F38" s="401">
        <v>0</v>
      </c>
      <c r="G38" s="402">
        <f>SUM(E38-F38)</f>
        <v>3406.5450000000001</v>
      </c>
      <c r="H38" s="366">
        <v>0</v>
      </c>
      <c r="I38" s="403">
        <f>SUM(G38-H38)</f>
        <v>3406.5450000000001</v>
      </c>
      <c r="J38" s="404">
        <f>I38*3%</f>
        <v>102.19635</v>
      </c>
      <c r="K38" s="405">
        <f>I38-J38</f>
        <v>3304.3486499999999</v>
      </c>
      <c r="L38" s="363" t="s">
        <v>101</v>
      </c>
      <c r="M38" s="294" t="s">
        <v>94</v>
      </c>
    </row>
    <row r="39" spans="2:13" ht="19.95" customHeight="1">
      <c r="B39" s="364"/>
      <c r="C39" s="361" t="s">
        <v>91</v>
      </c>
      <c r="D39" s="365" t="s">
        <v>83</v>
      </c>
      <c r="E39" s="400">
        <f>SUM(G66)</f>
        <v>0</v>
      </c>
      <c r="F39" s="401"/>
      <c r="G39" s="402">
        <f t="shared" ref="G39:G49" si="28">SUM(E39-F39)</f>
        <v>0</v>
      </c>
      <c r="H39" s="366">
        <v>0</v>
      </c>
      <c r="I39" s="403">
        <f t="shared" ref="I39:I49" si="29">SUM(G39-H39)</f>
        <v>0</v>
      </c>
      <c r="J39" s="404">
        <f t="shared" ref="J39:J49" si="30">I39*3%</f>
        <v>0</v>
      </c>
      <c r="K39" s="405">
        <f t="shared" ref="K39:K49" si="31">I39-J39</f>
        <v>0</v>
      </c>
      <c r="L39" s="363" t="s">
        <v>101</v>
      </c>
      <c r="M39" s="294" t="s">
        <v>95</v>
      </c>
    </row>
    <row r="40" spans="2:13" ht="19.95" customHeight="1">
      <c r="B40" s="364"/>
      <c r="C40" s="361" t="s">
        <v>91</v>
      </c>
      <c r="D40" s="365" t="s">
        <v>84</v>
      </c>
      <c r="E40" s="406">
        <f>SUM(G67)</f>
        <v>3000</v>
      </c>
      <c r="F40" s="402">
        <v>0</v>
      </c>
      <c r="G40" s="402">
        <f t="shared" ref="G40" si="32">SUM(E40-F40)</f>
        <v>3000</v>
      </c>
      <c r="H40" s="362">
        <v>0</v>
      </c>
      <c r="I40" s="403">
        <f t="shared" ref="I40" si="33">SUM(G40-H40)</f>
        <v>3000</v>
      </c>
      <c r="J40" s="404">
        <f t="shared" ref="J40" si="34">I40*3%</f>
        <v>90</v>
      </c>
      <c r="K40" s="405">
        <f t="shared" ref="K40" si="35">I40-J40</f>
        <v>2910</v>
      </c>
      <c r="L40" s="363" t="s">
        <v>101</v>
      </c>
      <c r="M40" s="294" t="s">
        <v>96</v>
      </c>
    </row>
    <row r="41" spans="2:13" ht="19.95" customHeight="1">
      <c r="B41" s="364"/>
      <c r="C41" s="361" t="s">
        <v>17</v>
      </c>
      <c r="D41" s="365" t="s">
        <v>85</v>
      </c>
      <c r="E41" s="406">
        <f>SUM(G68)</f>
        <v>0</v>
      </c>
      <c r="F41" s="402">
        <v>0</v>
      </c>
      <c r="G41" s="402">
        <f t="shared" ref="G41" si="36">SUM(E41-F41)</f>
        <v>0</v>
      </c>
      <c r="H41" s="362">
        <v>0</v>
      </c>
      <c r="I41" s="403">
        <f t="shared" ref="I41" si="37">SUM(G41-H41)</f>
        <v>0</v>
      </c>
      <c r="J41" s="404">
        <f t="shared" ref="J41" si="38">I41*3%</f>
        <v>0</v>
      </c>
      <c r="K41" s="405">
        <f t="shared" ref="K41" si="39">I41-J41</f>
        <v>0</v>
      </c>
      <c r="L41" s="363" t="s">
        <v>101</v>
      </c>
      <c r="M41" s="294" t="s">
        <v>97</v>
      </c>
    </row>
    <row r="42" spans="2:13" ht="19.95" customHeight="1">
      <c r="B42" s="364"/>
      <c r="C42" s="361" t="s">
        <v>91</v>
      </c>
      <c r="D42" s="365" t="s">
        <v>78</v>
      </c>
      <c r="E42" s="406">
        <f>SUM(G69)</f>
        <v>2625</v>
      </c>
      <c r="F42" s="402">
        <v>0</v>
      </c>
      <c r="G42" s="402">
        <f t="shared" ref="G42" si="40">SUM(E42-F42)</f>
        <v>2625</v>
      </c>
      <c r="H42" s="362">
        <v>0</v>
      </c>
      <c r="I42" s="403">
        <f t="shared" ref="I42" si="41">SUM(G42-H42)</f>
        <v>2625</v>
      </c>
      <c r="J42" s="404">
        <f t="shared" ref="J42" si="42">I42*3%</f>
        <v>78.75</v>
      </c>
      <c r="K42" s="405">
        <f t="shared" ref="K42" si="43">I42-J42</f>
        <v>2546.25</v>
      </c>
      <c r="L42" s="363" t="s">
        <v>101</v>
      </c>
      <c r="M42" s="294" t="s">
        <v>98</v>
      </c>
    </row>
    <row r="43" spans="2:13" ht="19.95" customHeight="1">
      <c r="B43" s="364"/>
      <c r="C43" s="361" t="s">
        <v>91</v>
      </c>
      <c r="D43" s="365" t="s">
        <v>79</v>
      </c>
      <c r="E43" s="406">
        <f>SUM(G70)</f>
        <v>4875</v>
      </c>
      <c r="F43" s="402">
        <v>0</v>
      </c>
      <c r="G43" s="402">
        <f t="shared" ref="G43" si="44">SUM(E43-F43)</f>
        <v>4875</v>
      </c>
      <c r="H43" s="362">
        <v>0</v>
      </c>
      <c r="I43" s="403">
        <f t="shared" ref="I43" si="45">SUM(G43-H43)</f>
        <v>4875</v>
      </c>
      <c r="J43" s="404">
        <f t="shared" ref="J43" si="46">I43*3%</f>
        <v>146.25</v>
      </c>
      <c r="K43" s="405">
        <f t="shared" ref="K43" si="47">I43-J43</f>
        <v>4728.75</v>
      </c>
      <c r="L43" s="363" t="s">
        <v>101</v>
      </c>
      <c r="M43" s="294" t="s">
        <v>99</v>
      </c>
    </row>
    <row r="44" spans="2:13" ht="19.95" customHeight="1">
      <c r="B44" s="364"/>
      <c r="C44" s="361" t="s">
        <v>91</v>
      </c>
      <c r="D44" s="365" t="s">
        <v>103</v>
      </c>
      <c r="E44" s="406">
        <f>SUM(G71)</f>
        <v>0</v>
      </c>
      <c r="F44" s="402">
        <v>0</v>
      </c>
      <c r="G44" s="402">
        <f t="shared" ref="G44" si="48">SUM(E44-F44)</f>
        <v>0</v>
      </c>
      <c r="H44" s="362">
        <v>0</v>
      </c>
      <c r="I44" s="403">
        <f t="shared" ref="I44" si="49">SUM(G44-H44)</f>
        <v>0</v>
      </c>
      <c r="J44" s="404">
        <f t="shared" ref="J44" si="50">I44*3%</f>
        <v>0</v>
      </c>
      <c r="K44" s="405">
        <f t="shared" ref="K44" si="51">I44-J44</f>
        <v>0</v>
      </c>
      <c r="L44" s="363" t="s">
        <v>101</v>
      </c>
      <c r="M44" s="294" t="s">
        <v>104</v>
      </c>
    </row>
    <row r="45" spans="2:13" ht="19.95" customHeight="1">
      <c r="B45" s="364"/>
      <c r="C45" s="361" t="s">
        <v>17</v>
      </c>
      <c r="D45" s="365" t="s">
        <v>168</v>
      </c>
      <c r="E45" s="406">
        <f>SUM(G72)</f>
        <v>0</v>
      </c>
      <c r="F45" s="402">
        <v>0</v>
      </c>
      <c r="G45" s="402">
        <f t="shared" ref="G45" si="52">SUM(E45-F45)</f>
        <v>0</v>
      </c>
      <c r="H45" s="362">
        <v>0</v>
      </c>
      <c r="I45" s="403">
        <f t="shared" ref="I45" si="53">SUM(G45-H45)</f>
        <v>0</v>
      </c>
      <c r="J45" s="404">
        <f t="shared" ref="J45" si="54">I45*3%</f>
        <v>0</v>
      </c>
      <c r="K45" s="405">
        <f t="shared" ref="K45" si="55">I45-J45</f>
        <v>0</v>
      </c>
      <c r="L45" s="293" t="s">
        <v>101</v>
      </c>
      <c r="M45" s="368" t="s">
        <v>172</v>
      </c>
    </row>
    <row r="46" spans="2:13" ht="19.95" customHeight="1">
      <c r="B46" s="364"/>
      <c r="C46" s="361" t="s">
        <v>91</v>
      </c>
      <c r="D46" s="365" t="s">
        <v>81</v>
      </c>
      <c r="E46" s="406">
        <f t="shared" ref="E46" si="56">SUM(G73)</f>
        <v>0</v>
      </c>
      <c r="F46" s="402">
        <v>0</v>
      </c>
      <c r="G46" s="402">
        <f t="shared" si="28"/>
        <v>0</v>
      </c>
      <c r="H46" s="362">
        <v>0</v>
      </c>
      <c r="I46" s="403">
        <f t="shared" si="29"/>
        <v>0</v>
      </c>
      <c r="J46" s="404">
        <f t="shared" si="30"/>
        <v>0</v>
      </c>
      <c r="K46" s="405">
        <f t="shared" si="31"/>
        <v>0</v>
      </c>
      <c r="L46" s="363" t="s">
        <v>101</v>
      </c>
      <c r="M46" s="295" t="s">
        <v>100</v>
      </c>
    </row>
    <row r="47" spans="2:13" ht="19.95" customHeight="1">
      <c r="B47" s="364" t="s">
        <v>71</v>
      </c>
      <c r="C47" s="361" t="s">
        <v>91</v>
      </c>
      <c r="D47" s="365" t="s">
        <v>83</v>
      </c>
      <c r="E47" s="406">
        <f>SUM(G74)</f>
        <v>927.10300000000007</v>
      </c>
      <c r="F47" s="402">
        <v>0</v>
      </c>
      <c r="G47" s="402">
        <f t="shared" si="28"/>
        <v>927.10300000000007</v>
      </c>
      <c r="H47" s="362">
        <v>0</v>
      </c>
      <c r="I47" s="403">
        <f t="shared" si="29"/>
        <v>927.10300000000007</v>
      </c>
      <c r="J47" s="404">
        <f t="shared" si="30"/>
        <v>27.813090000000003</v>
      </c>
      <c r="K47" s="405">
        <f t="shared" si="31"/>
        <v>899.28991000000008</v>
      </c>
      <c r="L47" s="363" t="s">
        <v>101</v>
      </c>
      <c r="M47" s="293" t="s">
        <v>95</v>
      </c>
    </row>
    <row r="48" spans="2:13" ht="19.95" customHeight="1">
      <c r="B48" s="364" t="s">
        <v>24</v>
      </c>
      <c r="C48" s="361" t="s">
        <v>72</v>
      </c>
      <c r="D48" s="365" t="s">
        <v>111</v>
      </c>
      <c r="E48" s="406">
        <f>SUM(G75)</f>
        <v>2225.0472</v>
      </c>
      <c r="F48" s="402">
        <v>0</v>
      </c>
      <c r="G48" s="402">
        <f t="shared" si="28"/>
        <v>2225.0472</v>
      </c>
      <c r="H48" s="362">
        <v>0</v>
      </c>
      <c r="I48" s="403">
        <f t="shared" si="29"/>
        <v>2225.0472</v>
      </c>
      <c r="J48" s="404">
        <f t="shared" si="30"/>
        <v>66.751415999999992</v>
      </c>
      <c r="K48" s="405">
        <f t="shared" si="31"/>
        <v>2158.2957839999999</v>
      </c>
      <c r="L48" s="363" t="s">
        <v>101</v>
      </c>
      <c r="M48" s="293" t="s">
        <v>112</v>
      </c>
    </row>
    <row r="49" spans="1:13" ht="19.95" customHeight="1">
      <c r="B49" s="364" t="s">
        <v>25</v>
      </c>
      <c r="C49" s="361" t="s">
        <v>72</v>
      </c>
      <c r="D49" s="365" t="s">
        <v>92</v>
      </c>
      <c r="E49" s="406">
        <f>SUM(G76)</f>
        <v>1483.3648000000001</v>
      </c>
      <c r="F49" s="402">
        <v>0</v>
      </c>
      <c r="G49" s="402">
        <f t="shared" si="28"/>
        <v>1483.3648000000001</v>
      </c>
      <c r="H49" s="362">
        <v>0</v>
      </c>
      <c r="I49" s="403">
        <f t="shared" si="29"/>
        <v>1483.3648000000001</v>
      </c>
      <c r="J49" s="404">
        <f t="shared" si="30"/>
        <v>44.500943999999997</v>
      </c>
      <c r="K49" s="405">
        <f t="shared" si="31"/>
        <v>1438.8638560000002</v>
      </c>
      <c r="L49" s="363" t="s">
        <v>101</v>
      </c>
      <c r="M49" s="293" t="s">
        <v>102</v>
      </c>
    </row>
    <row r="50" spans="1:13" ht="23.4" customHeight="1">
      <c r="B50" s="367"/>
      <c r="C50" s="368"/>
      <c r="D50" s="407"/>
      <c r="E50" s="408"/>
      <c r="F50" s="401"/>
      <c r="G50" s="409">
        <f>SUM(G38:G49)</f>
        <v>18542.060000000001</v>
      </c>
      <c r="H50" s="409">
        <f>SUM(H38:H49)</f>
        <v>0</v>
      </c>
      <c r="I50" s="410">
        <f>SUM(I38:I49)</f>
        <v>18542.060000000001</v>
      </c>
      <c r="J50" s="409">
        <f>SUM(J38:J49)</f>
        <v>556.26179999999999</v>
      </c>
      <c r="K50" s="410">
        <f>SUM(K38:K49)</f>
        <v>17985.798200000001</v>
      </c>
      <c r="L50" s="411"/>
      <c r="M50" s="411"/>
    </row>
    <row r="51" spans="1:13" ht="15.6">
      <c r="B51" s="72"/>
      <c r="C51" s="72"/>
      <c r="D51" s="73"/>
      <c r="E51" s="347"/>
      <c r="F51" s="348"/>
      <c r="G51" s="348"/>
      <c r="H51" s="349"/>
      <c r="I51" s="69"/>
      <c r="J51" s="69"/>
    </row>
    <row r="52" spans="1:13" ht="15.6">
      <c r="B52" s="72"/>
      <c r="C52" s="72"/>
      <c r="D52" s="73"/>
      <c r="E52" s="347"/>
      <c r="F52" s="348"/>
      <c r="G52" s="348"/>
      <c r="H52" s="348"/>
      <c r="I52" s="348"/>
      <c r="J52" s="69"/>
    </row>
    <row r="53" spans="1:13" s="302" customFormat="1" ht="14.55" customHeight="1">
      <c r="E53" s="350"/>
      <c r="F53" s="350"/>
      <c r="G53" s="350"/>
      <c r="H53" s="350"/>
      <c r="I53" s="69"/>
      <c r="J53" s="69"/>
      <c r="K53" s="69"/>
      <c r="L53" s="69"/>
      <c r="M53" s="69"/>
    </row>
    <row r="54" spans="1:13" ht="13.8">
      <c r="E54" s="351"/>
      <c r="F54" s="351"/>
      <c r="G54" s="351"/>
      <c r="H54" s="351"/>
      <c r="I54" s="69"/>
      <c r="J54" s="69"/>
    </row>
    <row r="55" spans="1:13" ht="13.8">
      <c r="E55" s="351"/>
      <c r="F55" s="351"/>
      <c r="G55" s="351"/>
      <c r="H55" s="351"/>
      <c r="I55" s="69"/>
      <c r="J55" s="69"/>
    </row>
    <row r="56" spans="1:13" ht="13.8">
      <c r="E56" s="351"/>
      <c r="F56" s="351"/>
      <c r="G56" s="351"/>
      <c r="H56" s="351"/>
      <c r="I56" s="69"/>
      <c r="J56" s="69"/>
    </row>
    <row r="57" spans="1:13" ht="13.8">
      <c r="E57" s="351"/>
      <c r="F57" s="351"/>
      <c r="G57" s="351"/>
      <c r="H57" s="351"/>
      <c r="I57" s="69"/>
      <c r="J57" s="69"/>
    </row>
    <row r="58" spans="1:13" ht="13.8">
      <c r="A58" s="75"/>
      <c r="B58" s="76"/>
      <c r="C58" s="76"/>
      <c r="E58" s="77"/>
      <c r="F58" s="69"/>
      <c r="G58" s="69"/>
      <c r="H58" s="113"/>
      <c r="I58" s="113"/>
      <c r="J58" s="69"/>
    </row>
    <row r="59" spans="1:13" s="56" customFormat="1" ht="13.8">
      <c r="E59" s="55"/>
      <c r="F59" s="55"/>
      <c r="G59" s="55"/>
      <c r="H59" s="113"/>
      <c r="I59" s="113"/>
      <c r="J59" s="69"/>
      <c r="K59" s="69"/>
    </row>
    <row r="60" spans="1:13" s="56" customFormat="1" ht="13.8">
      <c r="E60" s="55"/>
      <c r="F60" s="55"/>
      <c r="G60" s="55"/>
      <c r="H60" s="113"/>
      <c r="I60" s="113"/>
      <c r="J60" s="69"/>
      <c r="K60" s="69"/>
    </row>
    <row r="61" spans="1:13" s="56" customFormat="1" ht="13.8">
      <c r="E61" s="55"/>
      <c r="F61" s="55"/>
      <c r="G61" s="55"/>
      <c r="H61" s="113"/>
      <c r="I61" s="113"/>
      <c r="J61" s="69"/>
      <c r="K61" s="69"/>
    </row>
    <row r="62" spans="1:13" s="56" customFormat="1" ht="13.8" hidden="1">
      <c r="E62" s="55"/>
      <c r="F62" s="55"/>
      <c r="G62" s="55"/>
      <c r="H62" s="113"/>
      <c r="I62" s="113"/>
      <c r="J62" s="69"/>
      <c r="K62" s="69"/>
    </row>
    <row r="63" spans="1:13" ht="19.95" hidden="1" customHeight="1">
      <c r="B63" s="382" t="s">
        <v>93</v>
      </c>
      <c r="C63" s="383"/>
      <c r="D63" s="383"/>
      <c r="E63" s="383"/>
      <c r="F63" s="383"/>
      <c r="G63" s="384"/>
      <c r="H63" s="113"/>
      <c r="I63" s="113"/>
      <c r="J63" s="69"/>
    </row>
    <row r="64" spans="1:13" ht="19.95" hidden="1" customHeight="1">
      <c r="B64" s="110" t="s">
        <v>42</v>
      </c>
      <c r="C64" s="110" t="s">
        <v>13</v>
      </c>
      <c r="D64" s="110" t="s">
        <v>14</v>
      </c>
      <c r="E64" s="111" t="s">
        <v>22</v>
      </c>
      <c r="F64" s="111" t="s">
        <v>15</v>
      </c>
      <c r="G64" s="170" t="s">
        <v>16</v>
      </c>
      <c r="H64" s="113"/>
      <c r="I64" s="113"/>
      <c r="J64" s="69"/>
    </row>
    <row r="65" spans="2:10" ht="19.95" hidden="1" customHeight="1">
      <c r="B65" s="558" t="s">
        <v>23</v>
      </c>
      <c r="C65" s="557" t="s">
        <v>91</v>
      </c>
      <c r="D65" s="331" t="s">
        <v>82</v>
      </c>
      <c r="E65" s="115">
        <v>0.75</v>
      </c>
      <c r="F65" s="104">
        <v>0</v>
      </c>
      <c r="G65" s="114">
        <f>SUMIF($C4:$C32,"คุณนิมิต จุ้ยอยู่ทอง",$H4:$H32)*E65</f>
        <v>3406.5450000000001</v>
      </c>
      <c r="H65" s="116"/>
      <c r="I65" s="113"/>
      <c r="J65" s="69"/>
    </row>
    <row r="66" spans="2:10" ht="19.95" hidden="1" customHeight="1">
      <c r="B66" s="124"/>
      <c r="C66" s="557" t="s">
        <v>91</v>
      </c>
      <c r="D66" s="331" t="s">
        <v>83</v>
      </c>
      <c r="E66" s="115">
        <v>0.75</v>
      </c>
      <c r="F66" s="104">
        <v>0</v>
      </c>
      <c r="G66" s="114">
        <f>SUMIF($C5:$C33,"คุณธวัช มีแสง",$H5:$H33)*E66</f>
        <v>0</v>
      </c>
      <c r="H66" s="116"/>
      <c r="I66" s="113"/>
      <c r="J66" s="69"/>
    </row>
    <row r="67" spans="2:10" ht="19.95" hidden="1" customHeight="1">
      <c r="B67" s="124"/>
      <c r="C67" s="557" t="s">
        <v>91</v>
      </c>
      <c r="D67" s="331" t="s">
        <v>84</v>
      </c>
      <c r="E67" s="115">
        <v>0.75</v>
      </c>
      <c r="F67" s="104">
        <v>0</v>
      </c>
      <c r="G67" s="114">
        <f>SUMIF($C5:$C32,"คุณแดง มูลสองแคว",$H5:$H32)*E67</f>
        <v>3000</v>
      </c>
      <c r="H67" s="116"/>
      <c r="I67" s="113"/>
      <c r="J67" s="69"/>
    </row>
    <row r="68" spans="2:10" ht="19.95" hidden="1" customHeight="1">
      <c r="B68" s="124"/>
      <c r="C68" s="557" t="s">
        <v>17</v>
      </c>
      <c r="D68" s="336" t="s">
        <v>85</v>
      </c>
      <c r="E68" s="115">
        <v>0.75</v>
      </c>
      <c r="F68" s="104">
        <v>0</v>
      </c>
      <c r="G68" s="114">
        <f>SUMIF($C7:$C35,"คุณนิยนต์ อยู่ทะเล",$H7:$H35)*E68</f>
        <v>0</v>
      </c>
      <c r="H68" s="116"/>
      <c r="I68" s="113"/>
      <c r="J68" s="69"/>
    </row>
    <row r="69" spans="2:10" ht="19.95" hidden="1" customHeight="1">
      <c r="B69" s="124"/>
      <c r="C69" s="557" t="s">
        <v>91</v>
      </c>
      <c r="D69" s="337" t="s">
        <v>78</v>
      </c>
      <c r="E69" s="115">
        <v>0.75</v>
      </c>
      <c r="F69" s="104">
        <v>0</v>
      </c>
      <c r="G69" s="114">
        <f>SUMIF($C8:$C36,"คุณรุ่งอรุณ อินบุญรอด",$H8:$H36)*E69</f>
        <v>2625</v>
      </c>
      <c r="H69" s="116"/>
      <c r="I69" s="113"/>
      <c r="J69" s="69"/>
    </row>
    <row r="70" spans="2:10" ht="19.95" hidden="1" customHeight="1">
      <c r="B70" s="124"/>
      <c r="C70" s="557" t="s">
        <v>91</v>
      </c>
      <c r="D70" s="337" t="s">
        <v>79</v>
      </c>
      <c r="E70" s="115">
        <v>0.75</v>
      </c>
      <c r="F70" s="104">
        <v>0</v>
      </c>
      <c r="G70" s="114">
        <f>SUMIF($C9:$C37,"คุณศศินาถ จุ้ยอยู่ทอง",$H9:$H37)*E70</f>
        <v>4875</v>
      </c>
      <c r="H70" s="116"/>
      <c r="I70" s="113"/>
      <c r="J70" s="69"/>
    </row>
    <row r="71" spans="2:10" ht="19.95" hidden="1" customHeight="1">
      <c r="B71" s="124"/>
      <c r="C71" s="557" t="s">
        <v>91</v>
      </c>
      <c r="D71" s="357" t="s">
        <v>103</v>
      </c>
      <c r="E71" s="115">
        <v>0.75</v>
      </c>
      <c r="F71" s="104">
        <v>0</v>
      </c>
      <c r="G71" s="114">
        <f>SUMIF($C10:$C38,"คุณณรงศ์ศักย์ เหล่ารัตนเวช",$H10:$H38)*E71</f>
        <v>0</v>
      </c>
      <c r="H71" s="116"/>
      <c r="I71" s="113"/>
      <c r="J71" s="69"/>
    </row>
    <row r="72" spans="2:10" ht="19.95" hidden="1" customHeight="1">
      <c r="B72" s="124"/>
      <c r="C72" s="557" t="s">
        <v>17</v>
      </c>
      <c r="D72" s="365" t="s">
        <v>168</v>
      </c>
      <c r="E72" s="115">
        <v>0.75</v>
      </c>
      <c r="F72" s="104">
        <v>0</v>
      </c>
      <c r="G72" s="114">
        <f>SUMIF($C11:$C39,"คุณชนัฐฎา สนคะมี",$H11:$H39)*E72</f>
        <v>0</v>
      </c>
      <c r="H72" s="116"/>
      <c r="I72" s="113"/>
      <c r="J72" s="69"/>
    </row>
    <row r="73" spans="2:10" ht="19.95" hidden="1" customHeight="1">
      <c r="B73" s="123"/>
      <c r="C73" s="557" t="s">
        <v>91</v>
      </c>
      <c r="D73" s="331" t="s">
        <v>81</v>
      </c>
      <c r="E73" s="115">
        <v>0.75</v>
      </c>
      <c r="F73" s="104">
        <v>0</v>
      </c>
      <c r="G73" s="114">
        <f>SUMIF($C11:$C39,"คุณธัญลักษณ์ หมื่นหลุบกุง",$H11:$H39)*E73</f>
        <v>0</v>
      </c>
      <c r="H73" s="116"/>
      <c r="I73" s="113"/>
      <c r="J73" s="69"/>
    </row>
    <row r="74" spans="2:10" ht="19.95" hidden="1" customHeight="1">
      <c r="B74" s="123" t="s">
        <v>71</v>
      </c>
      <c r="C74" s="115" t="s">
        <v>91</v>
      </c>
      <c r="D74" s="331" t="s">
        <v>83</v>
      </c>
      <c r="E74" s="115">
        <v>0.05</v>
      </c>
      <c r="F74" s="104">
        <v>0</v>
      </c>
      <c r="G74" s="114">
        <f>$H$32*E74</f>
        <v>927.10300000000007</v>
      </c>
      <c r="H74" s="113"/>
      <c r="I74" s="113"/>
      <c r="J74" s="69"/>
    </row>
    <row r="75" spans="2:10" ht="19.95" hidden="1" customHeight="1">
      <c r="B75" s="117" t="s">
        <v>24</v>
      </c>
      <c r="C75" s="115" t="s">
        <v>72</v>
      </c>
      <c r="D75" s="331" t="s">
        <v>111</v>
      </c>
      <c r="E75" s="115">
        <v>0.12</v>
      </c>
      <c r="F75" s="104">
        <v>0</v>
      </c>
      <c r="G75" s="114">
        <f>$H$32*E75</f>
        <v>2225.0472</v>
      </c>
      <c r="H75" s="113"/>
      <c r="I75" s="127"/>
      <c r="J75" s="69"/>
    </row>
    <row r="76" spans="2:10" ht="19.95" hidden="1" customHeight="1">
      <c r="B76" s="117" t="s">
        <v>25</v>
      </c>
      <c r="C76" s="115" t="s">
        <v>72</v>
      </c>
      <c r="D76" s="331" t="s">
        <v>92</v>
      </c>
      <c r="E76" s="115">
        <v>0.08</v>
      </c>
      <c r="F76" s="104">
        <v>0</v>
      </c>
      <c r="G76" s="114">
        <f>$H$32*E76</f>
        <v>1483.3648000000001</v>
      </c>
      <c r="H76" s="113"/>
      <c r="I76" s="113"/>
      <c r="J76" s="69"/>
    </row>
    <row r="77" spans="2:10" ht="21" hidden="1" customHeight="1">
      <c r="B77" s="72"/>
      <c r="C77" s="72"/>
      <c r="D77" s="73"/>
      <c r="E77" s="74"/>
      <c r="F77" s="71"/>
      <c r="G77" s="378">
        <f>SUM(G65:G76)</f>
        <v>18542.060000000001</v>
      </c>
      <c r="H77" s="113"/>
      <c r="I77" s="69"/>
      <c r="J77" s="69"/>
    </row>
    <row r="78" spans="2:10" s="56" customFormat="1" ht="13.95" customHeight="1">
      <c r="E78" s="55"/>
      <c r="F78" s="55"/>
      <c r="G78" s="55"/>
      <c r="H78" s="113"/>
      <c r="I78" s="55"/>
    </row>
    <row r="79" spans="2:10" s="56" customFormat="1" ht="14.55" customHeight="1">
      <c r="E79" s="55"/>
      <c r="F79" s="55"/>
      <c r="G79" s="55"/>
      <c r="H79" s="113"/>
      <c r="I79" s="55"/>
    </row>
    <row r="80" spans="2:10" ht="13.8">
      <c r="H80" s="113"/>
    </row>
    <row r="81" spans="8:8" ht="13.95" customHeight="1">
      <c r="H81" s="113"/>
    </row>
    <row r="82" spans="8:8" ht="13.95" customHeight="1"/>
    <row r="83" spans="8:8" ht="13.95" customHeight="1"/>
    <row r="84" spans="8:8" ht="13.8"/>
    <row r="85" spans="8:8" ht="13.8"/>
    <row r="86" spans="8:8" ht="13.8"/>
    <row r="87" spans="8:8" ht="13.8"/>
    <row r="88" spans="8:8" ht="13.8"/>
    <row r="89" spans="8:8" ht="13.8"/>
    <row r="90" spans="8:8" ht="13.8"/>
    <row r="91" spans="8:8" ht="13.8"/>
    <row r="92" spans="8:8" ht="13.8"/>
    <row r="93" spans="8:8" ht="13.8"/>
    <row r="94" spans="8:8" ht="13.8"/>
    <row r="95" spans="8:8" ht="13.8"/>
    <row r="96" spans="8:8"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row r="288" ht="13.95" customHeight="1"/>
    <row r="289" ht="13.95" customHeight="1"/>
    <row r="290" ht="13.95" customHeight="1"/>
    <row r="291" ht="13.95" customHeight="1"/>
    <row r="292" ht="13.95" customHeight="1"/>
    <row r="293" ht="13.95" customHeight="1"/>
    <row r="294" ht="13.95" customHeight="1"/>
    <row r="295" ht="13.95" customHeight="1"/>
  </sheetData>
  <mergeCells count="9">
    <mergeCell ref="B35:M36"/>
    <mergeCell ref="A1:H1"/>
    <mergeCell ref="A2:H2"/>
    <mergeCell ref="B5:B13"/>
    <mergeCell ref="B14:B22"/>
    <mergeCell ref="B23:B31"/>
    <mergeCell ref="D5:D13"/>
    <mergeCell ref="D14:D22"/>
    <mergeCell ref="D23:D31"/>
  </mergeCells>
  <printOptions horizontalCentered="1"/>
  <pageMargins left="0.27559055118110198" right="0.196850393700787" top="0.43307086614173201" bottom="0.35433070866141703" header="0.43307086614173201" footer="0"/>
  <pageSetup paperSize="9" scale="54" orientation="landscape" r:id="rId1"/>
  <ignoredErrors>
    <ignoredError sqref="H8 G9:H9 H10 G13:H13 G18:H18 G14:H14 G15:H15 G16:H16 G17:H17 G22:H2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คอมฯ  CN</vt:lpstr>
      <vt:lpstr>สรุปยอดเบิก CN</vt:lpstr>
      <vt:lpstr>คอมฯ CBN</vt:lpstr>
      <vt:lpstr>สรุปยอดเบิก CBN</vt:lpstr>
      <vt:lpstr>'คอมฯ  CN'!Print_Area</vt:lpstr>
      <vt:lpstr>'คอมฯ CBN'!Print_Area</vt:lpstr>
      <vt:lpstr>'สรุปยอดเบิก CBN'!Print_Area</vt:lpstr>
      <vt:lpstr>'สรุปยอดเบิก CN'!Print_Area</vt:lpstr>
      <vt:lpstr>'คอมฯ  CN'!Print_Titles</vt:lpstr>
      <vt:lpstr>'คอมฯ CBN'!Print_Titles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Admin</cp:lastModifiedBy>
  <cp:lastPrinted>2024-09-04T08:53:40Z</cp:lastPrinted>
  <dcterms:created xsi:type="dcterms:W3CDTF">2022-04-03T17:11:16Z</dcterms:created>
  <dcterms:modified xsi:type="dcterms:W3CDTF">2024-11-28T04:14:26Z</dcterms:modified>
</cp:coreProperties>
</file>