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66925"/>
  <mc:AlternateContent xmlns:mc="http://schemas.openxmlformats.org/markup-compatibility/2006">
    <mc:Choice Requires="x15">
      <x15ac:absPath xmlns:x15ac="http://schemas.microsoft.com/office/spreadsheetml/2010/11/ac" url="C:\Users\Admin\Documents\02 งาน Oper Sale\05 Sale commission\03 ตั้งเบิก Sales Commission\รอบ 10-2567\RS\"/>
    </mc:Choice>
  </mc:AlternateContent>
  <xr:revisionPtr revIDLastSave="0" documentId="8_{789A389B-F545-4359-AA6C-17107DC625D9}" xr6:coauthVersionLast="43" xr6:coauthVersionMax="43" xr10:uidLastSave="{00000000-0000-0000-0000-000000000000}"/>
  <bookViews>
    <workbookView xWindow="-108" yWindow="-108" windowWidth="23256" windowHeight="12456" activeTab="4" xr2:uid="{195A0F0A-E35C-4AD4-8EE8-0CFEA0DC919D}"/>
  </bookViews>
  <sheets>
    <sheet name="Ref" sheetId="6" r:id="rId1"/>
    <sheet name="คอมฯ  CN" sheetId="1" r:id="rId2"/>
    <sheet name="สรุปยอดเบิก CN" sheetId="5" r:id="rId3"/>
    <sheet name="คอมฯ CBN" sheetId="2" r:id="rId4"/>
    <sheet name="สรุปยอดเบิก CBN" sheetId="3" r:id="rId5"/>
  </sheets>
  <definedNames>
    <definedName name="_xlnm._FilterDatabase" localSheetId="1" hidden="1">'คอมฯ  CN'!#REF!</definedName>
    <definedName name="_xlnm._FilterDatabase" localSheetId="3" hidden="1">'คอมฯ CBN'!#REF!</definedName>
    <definedName name="_xlnm.Print_Area" localSheetId="1">'คอมฯ  CN'!$A$1:$U$84</definedName>
    <definedName name="_xlnm.Print_Area" localSheetId="3">'คอมฯ CBN'!$A$1:$U$27</definedName>
    <definedName name="_xlnm.Print_Area" localSheetId="4">'สรุปยอดเบิก CBN'!$A$1:$M$54</definedName>
    <definedName name="_xlnm.Print_Area" localSheetId="2">'สรุปยอดเบิก CN'!$A$1:$K$71</definedName>
    <definedName name="_xlnm.Print_Titles" localSheetId="1">'คอมฯ  CN'!$5:$5</definedName>
    <definedName name="_xlnm.Print_Titles" localSheetId="3">'คอมฯ CBN'!$5:$5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5" i="2" l="1"/>
  <c r="L15" i="2"/>
  <c r="M15" i="2"/>
  <c r="Q15" i="2"/>
  <c r="I18" i="2"/>
  <c r="L18" i="2"/>
  <c r="M18" i="2"/>
  <c r="Q18" i="2"/>
  <c r="I21" i="2"/>
  <c r="L21" i="2"/>
  <c r="N21" i="2" s="1"/>
  <c r="M21" i="2"/>
  <c r="Q21" i="2"/>
  <c r="I24" i="2"/>
  <c r="L24" i="2"/>
  <c r="N24" i="2" s="1"/>
  <c r="M24" i="2"/>
  <c r="Q24" i="2"/>
  <c r="F28" i="5"/>
  <c r="H28" i="5" s="1"/>
  <c r="E28" i="5"/>
  <c r="F27" i="5"/>
  <c r="H27" i="5" s="1"/>
  <c r="E27" i="5"/>
  <c r="F25" i="5"/>
  <c r="H25" i="5" s="1"/>
  <c r="E25" i="5"/>
  <c r="F24" i="5"/>
  <c r="H24" i="5" s="1"/>
  <c r="E24" i="5"/>
  <c r="F23" i="5"/>
  <c r="H23" i="5" s="1"/>
  <c r="E23" i="5"/>
  <c r="F20" i="5"/>
  <c r="F19" i="5"/>
  <c r="F17" i="5"/>
  <c r="F16" i="5"/>
  <c r="F15" i="5"/>
  <c r="F28" i="3"/>
  <c r="E28" i="3"/>
  <c r="F27" i="3"/>
  <c r="E27" i="3"/>
  <c r="F24" i="3"/>
  <c r="E24" i="3"/>
  <c r="F23" i="3"/>
  <c r="E23" i="3"/>
  <c r="F16" i="3"/>
  <c r="F15" i="3"/>
  <c r="E13" i="3"/>
  <c r="N15" i="2" l="1"/>
  <c r="R24" i="2"/>
  <c r="R21" i="2"/>
  <c r="N18" i="2"/>
  <c r="R18" i="2" s="1"/>
  <c r="R15" i="2"/>
  <c r="G23" i="3"/>
  <c r="H23" i="3" s="1"/>
  <c r="G24" i="3"/>
  <c r="H24" i="3" s="1"/>
  <c r="G27" i="3"/>
  <c r="H27" i="3" s="1"/>
  <c r="G28" i="3"/>
  <c r="H28" i="3" s="1"/>
  <c r="Q12" i="2" l="1"/>
  <c r="Q9" i="2"/>
  <c r="Q6" i="2"/>
  <c r="F21" i="3" l="1"/>
  <c r="G21" i="3" s="1"/>
  <c r="H21" i="3" s="1"/>
  <c r="E21" i="3"/>
  <c r="E25" i="3"/>
  <c r="F25" i="3"/>
  <c r="G25" i="3" s="1"/>
  <c r="H25" i="3" s="1"/>
  <c r="F22" i="3"/>
  <c r="G22" i="3" s="1"/>
  <c r="H22" i="3" s="1"/>
  <c r="E22" i="3"/>
  <c r="F26" i="5"/>
  <c r="H26" i="5" s="1"/>
  <c r="E26" i="5"/>
  <c r="F26" i="3"/>
  <c r="G26" i="3" s="1"/>
  <c r="H26" i="3" s="1"/>
  <c r="E26" i="3"/>
  <c r="H27" i="2"/>
  <c r="I12" i="2"/>
  <c r="I9" i="2"/>
  <c r="I6" i="2"/>
  <c r="Q69" i="1" l="1"/>
  <c r="M69" i="1"/>
  <c r="L69" i="1"/>
  <c r="I69" i="1"/>
  <c r="Q66" i="1"/>
  <c r="M66" i="1"/>
  <c r="L66" i="1"/>
  <c r="I66" i="1"/>
  <c r="Q63" i="1"/>
  <c r="M63" i="1"/>
  <c r="L63" i="1"/>
  <c r="I63" i="1"/>
  <c r="Q60" i="1"/>
  <c r="M60" i="1"/>
  <c r="L60" i="1"/>
  <c r="N60" i="1" s="1"/>
  <c r="I60" i="1"/>
  <c r="Q57" i="1"/>
  <c r="M57" i="1"/>
  <c r="L57" i="1"/>
  <c r="I57" i="1"/>
  <c r="Q75" i="1"/>
  <c r="M75" i="1"/>
  <c r="L75" i="1"/>
  <c r="I75" i="1"/>
  <c r="Q72" i="1"/>
  <c r="M72" i="1"/>
  <c r="L72" i="1"/>
  <c r="I72" i="1"/>
  <c r="I81" i="1"/>
  <c r="I78" i="1"/>
  <c r="I54" i="1"/>
  <c r="N75" i="1" l="1"/>
  <c r="N72" i="1"/>
  <c r="N57" i="1"/>
  <c r="N69" i="1"/>
  <c r="R69" i="1" s="1"/>
  <c r="N63" i="1"/>
  <c r="N66" i="1"/>
  <c r="R66" i="1" s="1"/>
  <c r="R72" i="1"/>
  <c r="R63" i="1"/>
  <c r="R60" i="1"/>
  <c r="R75" i="1"/>
  <c r="R57" i="1"/>
  <c r="I45" i="1" l="1"/>
  <c r="I51" i="1"/>
  <c r="I48" i="1"/>
  <c r="I42" i="1"/>
  <c r="I39" i="1"/>
  <c r="I36" i="1"/>
  <c r="I33" i="1"/>
  <c r="I30" i="1"/>
  <c r="I27" i="1"/>
  <c r="I24" i="1"/>
  <c r="I21" i="1"/>
  <c r="H84" i="1"/>
  <c r="F12" i="5"/>
  <c r="Q78" i="1" l="1"/>
  <c r="M78" i="1"/>
  <c r="L78" i="1"/>
  <c r="Q54" i="1"/>
  <c r="M54" i="1"/>
  <c r="L54" i="1"/>
  <c r="Q51" i="1"/>
  <c r="M51" i="1"/>
  <c r="L51" i="1"/>
  <c r="Q48" i="1"/>
  <c r="M48" i="1"/>
  <c r="L48" i="1"/>
  <c r="N48" i="1" s="1"/>
  <c r="E20" i="3"/>
  <c r="F12" i="3"/>
  <c r="E12" i="3"/>
  <c r="E19" i="3"/>
  <c r="F11" i="3"/>
  <c r="E11" i="3"/>
  <c r="E18" i="3"/>
  <c r="F10" i="3"/>
  <c r="E10" i="3"/>
  <c r="E17" i="3"/>
  <c r="F9" i="3"/>
  <c r="E9" i="3"/>
  <c r="E16" i="3"/>
  <c r="F8" i="3"/>
  <c r="E8" i="3"/>
  <c r="E15" i="3"/>
  <c r="F7" i="3"/>
  <c r="E7" i="3"/>
  <c r="E14" i="3"/>
  <c r="F6" i="3"/>
  <c r="E6" i="3"/>
  <c r="F5" i="3"/>
  <c r="E5" i="3"/>
  <c r="E19" i="5"/>
  <c r="F11" i="5"/>
  <c r="G11" i="5" s="1"/>
  <c r="H11" i="5" s="1"/>
  <c r="E11" i="5"/>
  <c r="R48" i="1" l="1"/>
  <c r="N54" i="1"/>
  <c r="R54" i="1" s="1"/>
  <c r="N78" i="1"/>
  <c r="R78" i="1" s="1"/>
  <c r="N51" i="1"/>
  <c r="R51" i="1" s="1"/>
  <c r="G11" i="3"/>
  <c r="H11" i="3" s="1"/>
  <c r="E20" i="5"/>
  <c r="E18" i="5"/>
  <c r="E17" i="5"/>
  <c r="E16" i="5"/>
  <c r="E15" i="5"/>
  <c r="E14" i="5"/>
  <c r="E13" i="5"/>
  <c r="G12" i="5"/>
  <c r="H12" i="5" s="1"/>
  <c r="E12" i="5"/>
  <c r="F10" i="5"/>
  <c r="G10" i="5" s="1"/>
  <c r="H10" i="5" s="1"/>
  <c r="E10" i="5"/>
  <c r="F9" i="5"/>
  <c r="E9" i="5"/>
  <c r="F8" i="5"/>
  <c r="E8" i="5"/>
  <c r="F7" i="5"/>
  <c r="E7" i="5"/>
  <c r="F6" i="5"/>
  <c r="E6" i="5"/>
  <c r="F5" i="5"/>
  <c r="E5" i="5"/>
  <c r="L27" i="1" l="1"/>
  <c r="M27" i="1"/>
  <c r="Q27" i="1"/>
  <c r="N27" i="1" l="1"/>
  <c r="R27" i="1" s="1"/>
  <c r="E22" i="5" l="1"/>
  <c r="F22" i="5"/>
  <c r="G10" i="3" l="1"/>
  <c r="H10" i="3" s="1"/>
  <c r="M45" i="1" l="1"/>
  <c r="M42" i="1"/>
  <c r="M39" i="1"/>
  <c r="F84" i="1"/>
  <c r="Q45" i="1"/>
  <c r="L45" i="1"/>
  <c r="Q42" i="1"/>
  <c r="L42" i="1"/>
  <c r="Q39" i="1"/>
  <c r="L39" i="1"/>
  <c r="N45" i="1" l="1"/>
  <c r="R45" i="1" s="1"/>
  <c r="N42" i="1"/>
  <c r="R42" i="1" s="1"/>
  <c r="N39" i="1"/>
  <c r="R39" i="1" s="1"/>
  <c r="Q81" i="1" l="1"/>
  <c r="M81" i="1"/>
  <c r="L81" i="1"/>
  <c r="Q36" i="1"/>
  <c r="M36" i="1"/>
  <c r="L36" i="1"/>
  <c r="N36" i="1" l="1"/>
  <c r="R36" i="1" s="1"/>
  <c r="N81" i="1"/>
  <c r="R81" i="1" s="1"/>
  <c r="Q33" i="1" l="1"/>
  <c r="M33" i="1"/>
  <c r="L33" i="1"/>
  <c r="Q30" i="1"/>
  <c r="M30" i="1"/>
  <c r="L30" i="1"/>
  <c r="Q24" i="1"/>
  <c r="M24" i="1"/>
  <c r="L24" i="1"/>
  <c r="Q21" i="1"/>
  <c r="M21" i="1"/>
  <c r="L21" i="1"/>
  <c r="N24" i="1" l="1"/>
  <c r="N30" i="1"/>
  <c r="R30" i="1" s="1"/>
  <c r="N33" i="1"/>
  <c r="R33" i="1" s="1"/>
  <c r="N21" i="1"/>
  <c r="R24" i="1" l="1"/>
  <c r="R21" i="1"/>
  <c r="J27" i="2"/>
  <c r="K27" i="2"/>
  <c r="I27" i="2"/>
  <c r="G9" i="5" l="1"/>
  <c r="H9" i="5" s="1"/>
  <c r="G9" i="3"/>
  <c r="H9" i="3" s="1"/>
  <c r="G8" i="5"/>
  <c r="H8" i="5" s="1"/>
  <c r="S84" i="1" l="1"/>
  <c r="U84" i="1"/>
  <c r="T84" i="1"/>
  <c r="S27" i="2"/>
  <c r="T27" i="2"/>
  <c r="G6" i="5" l="1"/>
  <c r="H6" i="5" s="1"/>
  <c r="G7" i="5" l="1"/>
  <c r="H7" i="5" s="1"/>
  <c r="G8" i="3"/>
  <c r="H8" i="3" s="1"/>
  <c r="G12" i="3"/>
  <c r="H12" i="3" s="1"/>
  <c r="H46" i="3" l="1"/>
  <c r="J84" i="1" l="1"/>
  <c r="K84" i="1"/>
  <c r="O84" i="1"/>
  <c r="P84" i="1"/>
  <c r="M12" i="2"/>
  <c r="L12" i="2"/>
  <c r="M9" i="2"/>
  <c r="L9" i="2"/>
  <c r="M6" i="2"/>
  <c r="L6" i="2"/>
  <c r="I84" i="1"/>
  <c r="N12" i="2" l="1"/>
  <c r="N9" i="2"/>
  <c r="N6" i="2"/>
  <c r="F18" i="3"/>
  <c r="R9" i="2"/>
  <c r="F17" i="3"/>
  <c r="R12" i="2"/>
  <c r="F14" i="3"/>
  <c r="F21" i="5"/>
  <c r="H21" i="5" s="1"/>
  <c r="E21" i="5"/>
  <c r="F18" i="5"/>
  <c r="L27" i="2"/>
  <c r="M27" i="2"/>
  <c r="H22" i="5"/>
  <c r="Q84" i="1"/>
  <c r="M84" i="1"/>
  <c r="L84" i="1"/>
  <c r="F13" i="3" l="1"/>
  <c r="F20" i="3"/>
  <c r="F19" i="3"/>
  <c r="G19" i="3" s="1"/>
  <c r="H19" i="3" s="1"/>
  <c r="G64" i="3" s="1"/>
  <c r="E41" i="3" s="1"/>
  <c r="G41" i="3" s="1"/>
  <c r="I41" i="3" s="1"/>
  <c r="J41" i="3" s="1"/>
  <c r="K41" i="3" s="1"/>
  <c r="R6" i="2"/>
  <c r="F14" i="5"/>
  <c r="F13" i="5"/>
  <c r="F27" i="2"/>
  <c r="H19" i="5" l="1"/>
  <c r="G64" i="5" s="1"/>
  <c r="E41" i="5" s="1"/>
  <c r="H16" i="5"/>
  <c r="G61" i="5" s="1"/>
  <c r="H15" i="5"/>
  <c r="G60" i="5" s="1"/>
  <c r="G7" i="3" l="1"/>
  <c r="H7" i="3" s="1"/>
  <c r="H17" i="5"/>
  <c r="G62" i="5" s="1"/>
  <c r="G6" i="3"/>
  <c r="H6" i="3" s="1"/>
  <c r="G5" i="3"/>
  <c r="E39" i="5" l="1"/>
  <c r="E29" i="3"/>
  <c r="H14" i="5"/>
  <c r="G59" i="5" s="1"/>
  <c r="G17" i="3"/>
  <c r="H17" i="3" s="1"/>
  <c r="G62" i="3" l="1"/>
  <c r="E39" i="3" s="1"/>
  <c r="G39" i="3" s="1"/>
  <c r="I39" i="3" s="1"/>
  <c r="J39" i="3" s="1"/>
  <c r="K39" i="3" s="1"/>
  <c r="G18" i="3"/>
  <c r="H18" i="3" s="1"/>
  <c r="N84" i="1"/>
  <c r="G63" i="3" l="1"/>
  <c r="E40" i="3" s="1"/>
  <c r="G40" i="3" s="1"/>
  <c r="I40" i="3" s="1"/>
  <c r="J40" i="3" s="1"/>
  <c r="K40" i="3" s="1"/>
  <c r="R84" i="1"/>
  <c r="H20" i="5" l="1"/>
  <c r="G65" i="5" s="1"/>
  <c r="E29" i="5"/>
  <c r="H18" i="5"/>
  <c r="G63" i="5" s="1"/>
  <c r="E38" i="5" l="1"/>
  <c r="G38" i="5" s="1"/>
  <c r="I38" i="5" s="1"/>
  <c r="E37" i="5"/>
  <c r="G37" i="5" s="1"/>
  <c r="I37" i="5" s="1"/>
  <c r="G5" i="5"/>
  <c r="H5" i="5" s="1"/>
  <c r="E42" i="5" l="1"/>
  <c r="G42" i="5" s="1"/>
  <c r="I42" i="5" s="1"/>
  <c r="G41" i="5"/>
  <c r="I41" i="5" s="1"/>
  <c r="E36" i="5"/>
  <c r="G36" i="5" s="1"/>
  <c r="I36" i="5" s="1"/>
  <c r="G20" i="3" l="1"/>
  <c r="H20" i="3" s="1"/>
  <c r="R27" i="2"/>
  <c r="G16" i="3"/>
  <c r="H16" i="3" s="1"/>
  <c r="Q27" i="2"/>
  <c r="G39" i="5"/>
  <c r="I39" i="5" s="1"/>
  <c r="G14" i="3"/>
  <c r="H14" i="3" s="1"/>
  <c r="G13" i="3"/>
  <c r="G59" i="3" l="1"/>
  <c r="E36" i="3" s="1"/>
  <c r="G36" i="3" s="1"/>
  <c r="I36" i="3" s="1"/>
  <c r="J36" i="3" s="1"/>
  <c r="K36" i="3" s="1"/>
  <c r="G61" i="3"/>
  <c r="G65" i="3"/>
  <c r="E42" i="3" s="1"/>
  <c r="G15" i="3"/>
  <c r="H15" i="3" s="1"/>
  <c r="H13" i="3"/>
  <c r="F29" i="3"/>
  <c r="G60" i="3" l="1"/>
  <c r="E37" i="3" s="1"/>
  <c r="G37" i="3" s="1"/>
  <c r="I37" i="3" s="1"/>
  <c r="J37" i="3" s="1"/>
  <c r="K37" i="3" s="1"/>
  <c r="E38" i="3"/>
  <c r="G42" i="3"/>
  <c r="I42" i="3" s="1"/>
  <c r="J42" i="3" s="1"/>
  <c r="K42" i="3" s="1"/>
  <c r="H5" i="3"/>
  <c r="G58" i="3" s="1"/>
  <c r="G29" i="3"/>
  <c r="E35" i="3" l="1"/>
  <c r="G35" i="3" s="1"/>
  <c r="H29" i="3"/>
  <c r="G66" i="3" l="1"/>
  <c r="E43" i="3" s="1"/>
  <c r="G67" i="3"/>
  <c r="E44" i="3" s="1"/>
  <c r="G44" i="3" s="1"/>
  <c r="I44" i="3" s="1"/>
  <c r="J44" i="3" s="1"/>
  <c r="K44" i="3" s="1"/>
  <c r="G68" i="3"/>
  <c r="E45" i="3" s="1"/>
  <c r="G45" i="3" s="1"/>
  <c r="I45" i="3" s="1"/>
  <c r="J45" i="3" s="1"/>
  <c r="K45" i="3" s="1"/>
  <c r="G29" i="5"/>
  <c r="I35" i="3"/>
  <c r="G38" i="3"/>
  <c r="I38" i="3" s="1"/>
  <c r="J38" i="3" s="1"/>
  <c r="K38" i="3" s="1"/>
  <c r="G69" i="3" l="1"/>
  <c r="J35" i="3"/>
  <c r="F29" i="5"/>
  <c r="G43" i="3"/>
  <c r="H13" i="5"/>
  <c r="G58" i="5" s="1"/>
  <c r="E35" i="5" s="1"/>
  <c r="H29" i="5" l="1"/>
  <c r="K35" i="3"/>
  <c r="I43" i="3"/>
  <c r="G46" i="3"/>
  <c r="G67" i="5" l="1"/>
  <c r="E44" i="5" s="1"/>
  <c r="E40" i="5"/>
  <c r="G40" i="5" s="1"/>
  <c r="I40" i="5" s="1"/>
  <c r="J43" i="3"/>
  <c r="J46" i="3" s="1"/>
  <c r="I46" i="3"/>
  <c r="G35" i="5"/>
  <c r="I35" i="5" s="1"/>
  <c r="G68" i="5"/>
  <c r="E45" i="5" s="1"/>
  <c r="G45" i="5" s="1"/>
  <c r="I45" i="5" s="1"/>
  <c r="G66" i="5"/>
  <c r="E43" i="5" s="1"/>
  <c r="G43" i="5" s="1"/>
  <c r="I43" i="5" s="1"/>
  <c r="K43" i="3" l="1"/>
  <c r="G44" i="5"/>
  <c r="I44" i="5" s="1"/>
  <c r="G69" i="5"/>
  <c r="K46" i="3" l="1"/>
  <c r="E46" i="5"/>
  <c r="I46" i="5" l="1"/>
  <c r="G46" i="5"/>
</calcChain>
</file>

<file path=xl/sharedStrings.xml><?xml version="1.0" encoding="utf-8"?>
<sst xmlns="http://schemas.openxmlformats.org/spreadsheetml/2006/main" count="518" uniqueCount="129">
  <si>
    <t>ลำดับ</t>
  </si>
  <si>
    <t>ชื่อเจ้าของโครงการ</t>
  </si>
  <si>
    <t>รายการเบิก</t>
  </si>
  <si>
    <t>จำนวนเงิน</t>
  </si>
  <si>
    <t>ยอดคงเหลือ</t>
  </si>
  <si>
    <t>Total</t>
  </si>
  <si>
    <t>Sales</t>
  </si>
  <si>
    <t>เขตการขาย</t>
  </si>
  <si>
    <t xml:space="preserve">ตั้งเบิก บริษัท เคเบิล คอนเน็ค จำกัด </t>
  </si>
  <si>
    <t>รายละเอียดค่าคอม</t>
  </si>
  <si>
    <t>หัก CBN
30%</t>
  </si>
  <si>
    <t>ค่าคอมฯ ช่างติดตั้ง</t>
  </si>
  <si>
    <t>รวมทั้งสิ้น</t>
  </si>
  <si>
    <t>ส่วนงานขาย</t>
  </si>
  <si>
    <t>ชื่อผู้รับเงิน</t>
  </si>
  <si>
    <t>หัก ณ ที่จ่าย</t>
  </si>
  <si>
    <t xml:space="preserve">ค่าคอมฯ สุทธิ </t>
  </si>
  <si>
    <t>HP</t>
  </si>
  <si>
    <t>Freelance</t>
  </si>
  <si>
    <t>ค่าคอมฯขาย
Internet</t>
  </si>
  <si>
    <t>ค่าคอมขายอุปกรณ์</t>
  </si>
  <si>
    <t>คุณจันทราภรณ์ สุภาพวนิช</t>
  </si>
  <si>
    <t>อัตราส่วนแบ่ง</t>
  </si>
  <si>
    <t>SALES</t>
  </si>
  <si>
    <t>CENTER SALES</t>
  </si>
  <si>
    <t>Sales Coordinator</t>
  </si>
  <si>
    <t>จำนวน
โครงการ</t>
  </si>
  <si>
    <t>ค่าคอมฯ ขายงานติดตั้งระบบ
งานติดตั้งระบบให้บริการหลัก</t>
  </si>
  <si>
    <t>งานขายอุปกรณ์เพิ่มเติม</t>
  </si>
  <si>
    <t>หัก กสทช</t>
  </si>
  <si>
    <t>ยอดโอนสุทธิ</t>
  </si>
  <si>
    <t>ค่าบริการรายเดือนตาม Package</t>
  </si>
  <si>
    <t>หัก ภาษีรายได้</t>
  </si>
  <si>
    <t>ยอดเงินโอน</t>
  </si>
  <si>
    <t>เงินเข้าสุทธิ</t>
  </si>
  <si>
    <t>ชื่อผู้รับเงิน (บัญชีเงินเดือน)</t>
  </si>
  <si>
    <t>คุณรัฏฎิการ์</t>
  </si>
  <si>
    <t>เดือนที่เริ่มเก็บ
ค่าบริการ</t>
  </si>
  <si>
    <t>รายการเบิก
คอมขาย</t>
  </si>
  <si>
    <t>เลขที่ใบกำกับ/ใบเสร็จรับเงิน</t>
  </si>
  <si>
    <t>รหัสลูกค้า</t>
  </si>
  <si>
    <t>ค่าขายอุปกรณ์</t>
  </si>
  <si>
    <t>สรุปรายการผู้รับเงิน</t>
  </si>
  <si>
    <t xml:space="preserve">เลขที่นำส่งเงิน
</t>
  </si>
  <si>
    <t>บริษัท เจริญเคเบิลทีวี เน็ตเวอร์ค จำกัด</t>
  </si>
  <si>
    <t>บริการประเภท</t>
  </si>
  <si>
    <t>Cable DTV</t>
  </si>
  <si>
    <t>Cable IPTV</t>
  </si>
  <si>
    <t>Internet Lease Line</t>
  </si>
  <si>
    <t>ประเภทบริการ</t>
  </si>
  <si>
    <t>Cable DTV + FTTX</t>
  </si>
  <si>
    <t>Cable DTV + Internet ( Hotspot wifi )</t>
  </si>
  <si>
    <t>Cable DTV + Lan to room</t>
  </si>
  <si>
    <t>Cable DTV + Lease Line</t>
  </si>
  <si>
    <t>Cable DTV + WI FI Hospot</t>
  </si>
  <si>
    <t>Cable DTV ขายอุปกรณ์</t>
  </si>
  <si>
    <t>Cable IPTV + FTTX</t>
  </si>
  <si>
    <t>Cable IPTV + Lease Line</t>
  </si>
  <si>
    <t>Internet ( Fttx to Head)</t>
  </si>
  <si>
    <t>Internet ( Hotspot wifi )</t>
  </si>
  <si>
    <t>Internet FTTx Room</t>
  </si>
  <si>
    <t>Internet Lan To Room</t>
  </si>
  <si>
    <t>Internet Lease Line Event</t>
  </si>
  <si>
    <t>Internet WI FI Hospot</t>
  </si>
  <si>
    <t>ทีมงานขาย
(ชื่อทีม/คน ขายสาขา)</t>
  </si>
  <si>
    <t>Digital Steams</t>
  </si>
  <si>
    <t>หักส่วนต่างระหว่างบริษัท
(CBN-CN 3%)</t>
  </si>
  <si>
    <t>ยอดเงินโอนสุทธิ</t>
  </si>
  <si>
    <t>คุณสุภาภรณ์ ม่วงทอง</t>
  </si>
  <si>
    <t>คุณอภิษฎา ยศราวาส</t>
  </si>
  <si>
    <t>Event</t>
  </si>
  <si>
    <t>TEAM  SALES MG</t>
  </si>
  <si>
    <t>SC</t>
  </si>
  <si>
    <t>รายงานสรุปค่าคอมมิชชั่นจากการติดตั้งประจำปี 2567</t>
  </si>
  <si>
    <t>ฝ่ายขายกลุ่ม Ressident</t>
  </si>
  <si>
    <t>ค่าคอมขาย -Cable TV</t>
  </si>
  <si>
    <t>ค่าคอมขาย - HOTSPOT WIFI</t>
  </si>
  <si>
    <t>ตั้งเบิก บริษัท เจริญเคเบิลทีวี เน็ตเวอร์ค จำกัด</t>
  </si>
  <si>
    <t>คุณรุ่งอรุณ อินบุญรอด</t>
  </si>
  <si>
    <t>คุณศศินาถ จุ้ยอยู่ทอง</t>
  </si>
  <si>
    <t>คุณวัชราภรณ์ ปินะกะเส</t>
  </si>
  <si>
    <t>คุณธัญลักษณ์ หมื่นหลุบกุง</t>
  </si>
  <si>
    <t>คุณนิมิต จุ้ยอยู่ทอง</t>
  </si>
  <si>
    <t>คุณธวัช มีแสง</t>
  </si>
  <si>
    <t>คุณแดง มูลสองแคว</t>
  </si>
  <si>
    <t>คุณนิยนต์ อยู่ทะเล</t>
  </si>
  <si>
    <t>คุณจินตนา อ้อยหวาน</t>
  </si>
  <si>
    <t>คุณพัชรพรรณ พึ่งพา</t>
  </si>
  <si>
    <t>คุณดาราวรรณ อรัญญะ</t>
  </si>
  <si>
    <t>ธนาคาร</t>
  </si>
  <si>
    <t>เลขที่บัญชี</t>
  </si>
  <si>
    <t>RS</t>
  </si>
  <si>
    <t>คุณดารณี อนันทวัน</t>
  </si>
  <si>
    <t>รายละเอียดการจัดสรรส่วนแบ่ง ค่าคอมฯ ส่วนงาน RS</t>
  </si>
  <si>
    <t xml:space="preserve">051-2-27264-2 </t>
  </si>
  <si>
    <t>051-2-28325-0</t>
  </si>
  <si>
    <t>051-2-32010-2</t>
  </si>
  <si>
    <t>051-2-19666-8</t>
  </si>
  <si>
    <t>150-2-58423-6</t>
  </si>
  <si>
    <t>051-2-27260-0</t>
  </si>
  <si>
    <t>210-2-29048-9</t>
  </si>
  <si>
    <t>TTB</t>
  </si>
  <si>
    <t>931-2-06799-5</t>
  </si>
  <si>
    <t>คุณณรงศ์ศักย์ เหล่ารัตนเวช</t>
  </si>
  <si>
    <t>919-7-16713-4</t>
  </si>
  <si>
    <t>บริษัท เคเบิลคอนเนค จำกัด</t>
  </si>
  <si>
    <t>รายชื่อผู้รับค่าคอมส่วนงาน RS  (ตามหลักเกณฑ์ใหม่)</t>
  </si>
  <si>
    <t>ค่าคอมฯขาย Cable TV</t>
  </si>
  <si>
    <t>.</t>
  </si>
  <si>
    <t>รายการเบิก
คอมขายเพิ่มเติม
(เป้าตามกำหนด)
100-200%</t>
  </si>
  <si>
    <t>Internet ( Hotspot wifi ) ขายอุปกรณ์</t>
  </si>
  <si>
    <t>คุณสุชานัน พึ่งพา</t>
  </si>
  <si>
    <t>931-2-06801-9</t>
  </si>
  <si>
    <t>ค่าติดตั้ง/ค่าเชื่อมสัญญาณ</t>
  </si>
  <si>
    <t>ต้นทุนค่าติดตั้ง/ค่าเชื่อมสัญญาณ</t>
  </si>
  <si>
    <t>Total 
คอมฯค่าติดตั้ง/ค่าเชื่อมสัญญาณ</t>
  </si>
  <si>
    <t>ต้นทุนค่าขายอุปกรณ์</t>
  </si>
  <si>
    <t>คอมฯอุปกรณ์
 5%</t>
  </si>
  <si>
    <t>คอมฯ อุปกรณ์
25%</t>
  </si>
  <si>
    <t>Total
คอมฯ อุปกรณ์</t>
  </si>
  <si>
    <t>รวมค่าคอมฯ</t>
  </si>
  <si>
    <t>ประจำเดือน ตุลาคม</t>
  </si>
  <si>
    <t>สรุปรายการเบิกค่าคอมมิชชั่น ประจำเดือน ตุลาคม 2567</t>
  </si>
  <si>
    <t>WING670624</t>
  </si>
  <si>
    <t>บริษัท เดอะ การ์เด้น เพลส งามวงศ์วาน จำกัด</t>
  </si>
  <si>
    <t>โครงการ เดอะการ์เด้นเพลส</t>
  </si>
  <si>
    <t>IV6710189</t>
  </si>
  <si>
    <t>NG</t>
  </si>
  <si>
    <t>รอเลขที่นำส่ง #7829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</si>
</sst>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quot;$&quot;* #,##0.00_);_(&quot;$&quot;* \(#,##0.00\);_(&quot;$&quot;* &quot;-&quot;??_);_(@_)"/>
    <numFmt numFmtId="166" formatCode="_(* #,##0.00_);_(* \(#,##0.00\);_(* &quot;-&quot;??_);_(@_)"/>
  </numFmts>
  <fonts count="61">
    <font>
      <sz val="10"/>
      <name val="Arial"/>
    </font>
    <font>
      <b/>
      <sz val="15"/>
      <color theme="3"/>
      <name val="Angsana New"/>
      <family val="2"/>
      <charset val="222"/>
    </font>
    <font>
      <b/>
      <sz val="14"/>
      <color indexed="63"/>
      <name val="Arial"/>
      <family val="2"/>
    </font>
    <font>
      <sz val="10"/>
      <name val="Arial"/>
      <family val="2"/>
    </font>
    <font>
      <sz val="12"/>
      <name val="Arial"/>
      <family val="2"/>
    </font>
    <font>
      <b/>
      <sz val="11"/>
      <color theme="3"/>
      <name val="Angsana New"/>
      <family val="2"/>
      <charset val="222"/>
    </font>
    <font>
      <b/>
      <sz val="14"/>
      <name val="Arial"/>
      <family val="2"/>
    </font>
    <font>
      <b/>
      <sz val="13"/>
      <name val="Arial"/>
      <family val="2"/>
    </font>
    <font>
      <b/>
      <sz val="12"/>
      <name val="Arial"/>
      <family val="2"/>
    </font>
    <font>
      <sz val="11"/>
      <color theme="1"/>
      <name val="Angsana New"/>
      <family val="2"/>
      <charset val="222"/>
    </font>
    <font>
      <sz val="12"/>
      <color indexed="8"/>
      <name val="Arial"/>
      <family val="2"/>
    </font>
    <font>
      <sz val="11"/>
      <color indexed="8"/>
      <name val="Arial"/>
      <family val="2"/>
    </font>
    <font>
      <b/>
      <sz val="11"/>
      <color theme="1"/>
      <name val="Angsana New"/>
      <family val="2"/>
      <charset val="222"/>
    </font>
    <font>
      <sz val="11"/>
      <name val="Arial"/>
      <family val="2"/>
    </font>
    <font>
      <sz val="10"/>
      <name val="Arial"/>
      <family val="2"/>
    </font>
    <font>
      <b/>
      <sz val="12"/>
      <color indexed="63"/>
      <name val="Arial"/>
      <family val="2"/>
    </font>
    <font>
      <b/>
      <sz val="11"/>
      <color indexed="8"/>
      <name val="Arial"/>
      <family val="2"/>
    </font>
    <font>
      <sz val="12"/>
      <color indexed="17"/>
      <name val="Arial"/>
      <family val="2"/>
    </font>
    <font>
      <sz val="11"/>
      <color rgb="FF006100"/>
      <name val="Angsana New"/>
      <family val="2"/>
      <charset val="222"/>
    </font>
    <font>
      <sz val="12"/>
      <color theme="1"/>
      <name val="Arial"/>
      <family val="2"/>
    </font>
    <font>
      <sz val="8"/>
      <name val="Arial"/>
      <family val="2"/>
    </font>
    <font>
      <b/>
      <sz val="18"/>
      <color theme="3"/>
      <name val="Cordia New"/>
      <family val="2"/>
      <charset val="222"/>
    </font>
    <font>
      <b/>
      <sz val="11"/>
      <name val="Arial"/>
      <family val="2"/>
    </font>
    <font>
      <sz val="11"/>
      <color rgb="FF000000"/>
      <name val="Arial"/>
      <family val="2"/>
    </font>
    <font>
      <b/>
      <sz val="11"/>
      <color indexed="56"/>
      <name val="Arial"/>
      <family val="2"/>
    </font>
    <font>
      <sz val="9"/>
      <color rgb="FFFF0000"/>
      <name val="Arial"/>
      <family val="2"/>
    </font>
    <font>
      <b/>
      <sz val="9"/>
      <color rgb="FFFF0000"/>
      <name val="Arial"/>
      <family val="2"/>
    </font>
    <font>
      <sz val="11"/>
      <name val="Arial Black"/>
      <family val="2"/>
    </font>
    <font>
      <b/>
      <sz val="11"/>
      <name val="Tahoma"/>
      <family val="2"/>
    </font>
    <font>
      <b/>
      <sz val="11"/>
      <color indexed="8"/>
      <name val="Tahoma"/>
      <family val="2"/>
    </font>
    <font>
      <sz val="11"/>
      <name val="Tahoma"/>
      <family val="2"/>
    </font>
    <font>
      <sz val="11"/>
      <color indexed="8"/>
      <name val="Tahoma"/>
      <family val="2"/>
    </font>
    <font>
      <sz val="11"/>
      <color rgb="FF000000"/>
      <name val="Tahoma"/>
      <family val="2"/>
    </font>
    <font>
      <b/>
      <sz val="11"/>
      <name val="Arial Black"/>
      <family val="2"/>
      <charset val="222"/>
    </font>
    <font>
      <b/>
      <sz val="11"/>
      <name val="Tahoma"/>
      <family val="2"/>
      <charset val="222"/>
    </font>
    <font>
      <b/>
      <sz val="11"/>
      <color indexed="8"/>
      <name val="Tahoma"/>
      <family val="2"/>
      <charset val="222"/>
    </font>
    <font>
      <sz val="12"/>
      <color rgb="FFFF0000"/>
      <name val="Arial"/>
      <family val="2"/>
    </font>
    <font>
      <b/>
      <sz val="12"/>
      <name val="Tahoma"/>
      <family val="2"/>
    </font>
    <font>
      <b/>
      <sz val="12"/>
      <color rgb="FFFF0000"/>
      <name val="Arial"/>
      <family val="2"/>
    </font>
    <font>
      <b/>
      <sz val="11"/>
      <color rgb="FF000000"/>
      <name val="Arial"/>
      <family val="2"/>
    </font>
    <font>
      <b/>
      <sz val="12"/>
      <color rgb="FF000000"/>
      <name val="Calibri"/>
      <family val="2"/>
    </font>
    <font>
      <sz val="12"/>
      <color indexed="9"/>
      <name val="Arial"/>
      <family val="2"/>
    </font>
    <font>
      <sz val="12"/>
      <name val="Angsana New"/>
      <family val="2"/>
    </font>
    <font>
      <b/>
      <sz val="10"/>
      <color rgb="FFFFFFFF"/>
      <name val="Arial"/>
      <family val="2"/>
    </font>
    <font>
      <sz val="10"/>
      <color theme="1"/>
      <name val="Calibri"/>
      <family val="2"/>
      <scheme val="minor"/>
    </font>
    <font>
      <b/>
      <sz val="11"/>
      <color rgb="FFFF0000"/>
      <name val="Arial"/>
      <family val="2"/>
    </font>
    <font>
      <sz val="14"/>
      <name val="Arial"/>
      <family val="2"/>
    </font>
    <font>
      <sz val="14"/>
      <color indexed="8"/>
      <name val="Arial"/>
      <family val="2"/>
    </font>
    <font>
      <sz val="14"/>
      <color theme="1"/>
      <name val="Arial"/>
      <family val="2"/>
    </font>
    <font>
      <b/>
      <sz val="12"/>
      <name val="Arial Black"/>
      <family val="2"/>
    </font>
    <font>
      <b/>
      <sz val="12"/>
      <color indexed="40"/>
      <name val="Tahoma"/>
      <family val="2"/>
    </font>
    <font>
      <b/>
      <sz val="14"/>
      <color rgb="FF000000"/>
      <name val="Arial"/>
      <family val="2"/>
    </font>
    <font>
      <sz val="14"/>
      <color theme="0"/>
      <name val="Arial"/>
      <family val="2"/>
    </font>
    <font>
      <b/>
      <sz val="12"/>
      <color indexed="10"/>
      <name val="Arial"/>
      <family val="2"/>
    </font>
    <font>
      <b/>
      <sz val="11"/>
      <color theme="1"/>
      <name val="Arial"/>
      <family val="2"/>
    </font>
    <font>
      <sz val="12"/>
      <color rgb="FF0000FF"/>
      <name val="Arial"/>
      <family val="2"/>
    </font>
    <font>
      <sz val="11"/>
      <color theme="1"/>
      <name val="Arial"/>
      <family val="2"/>
    </font>
    <font>
      <b/>
      <sz val="14"/>
      <color rgb="FF000000"/>
      <name val="Calibri"/>
      <family val="2"/>
    </font>
    <font>
      <sz val="11"/>
      <color rgb="FF0000FF"/>
      <name val="Arial"/>
      <family val="2"/>
    </font>
    <font>
      <sz val="11"/>
      <color indexed="9"/>
      <name val="Arial"/>
      <family val="2"/>
    </font>
    <font>
      <b/>
      <sz val="11"/>
      <color indexed="10"/>
      <name val="Arial"/>
      <family val="2"/>
    </font>
  </fonts>
  <fills count="2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8" tint="0.59999389629810485"/>
        <bgColor indexed="65"/>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22"/>
        <bgColor indexed="22"/>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rgb="FFBDD6EE"/>
        <bgColor rgb="FFBDD6EE"/>
      </patternFill>
    </fill>
    <fill>
      <patternFill patternType="solid">
        <fgColor rgb="FFFFC000"/>
        <bgColor rgb="FFBDD6EE"/>
      </patternFill>
    </fill>
    <fill>
      <patternFill patternType="solid">
        <fgColor rgb="FF000090"/>
        <bgColor rgb="FF000090"/>
      </patternFill>
    </fill>
    <fill>
      <patternFill patternType="solid">
        <fgColor rgb="FFFFC000"/>
        <bgColor rgb="FFFFC00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rgb="FFBDD6EE"/>
      </patternFill>
    </fill>
  </fills>
  <borders count="63">
    <border>
      <left/>
      <right/>
      <top/>
      <bottom/>
      <diagonal/>
    </border>
    <border>
      <left/>
      <right/>
      <top/>
      <bottom style="thick">
        <color theme="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53"/>
      </top>
      <bottom/>
      <diagonal/>
    </border>
    <border>
      <left style="thin">
        <color indexed="64"/>
      </left>
      <right style="thin">
        <color indexed="64"/>
      </right>
      <top style="medium">
        <color indexed="53"/>
      </top>
      <bottom style="hair">
        <color indexed="53"/>
      </bottom>
      <diagonal/>
    </border>
    <border>
      <left style="thin">
        <color indexed="64"/>
      </left>
      <right style="thin">
        <color indexed="64"/>
      </right>
      <top style="hair">
        <color indexed="64"/>
      </top>
      <bottom style="hair">
        <color indexed="64"/>
      </bottom>
      <diagonal/>
    </border>
    <border>
      <left/>
      <right style="thin">
        <color indexed="64"/>
      </right>
      <top style="hair">
        <color indexed="53"/>
      </top>
      <bottom style="hair">
        <color indexed="53"/>
      </bottom>
      <diagonal/>
    </border>
    <border>
      <left style="thin">
        <color indexed="64"/>
      </left>
      <right style="thin">
        <color indexed="64"/>
      </right>
      <top style="hair">
        <color indexed="53"/>
      </top>
      <bottom style="hair">
        <color indexed="53"/>
      </bottom>
      <diagonal/>
    </border>
    <border>
      <left/>
      <right style="thin">
        <color indexed="64"/>
      </right>
      <top style="medium">
        <color indexed="53"/>
      </top>
      <bottom style="hair">
        <color indexed="5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53"/>
      </top>
      <bottom style="dotted">
        <color indexed="53"/>
      </bottom>
      <diagonal/>
    </border>
    <border>
      <left style="thin">
        <color indexed="64"/>
      </left>
      <right style="thin">
        <color indexed="64"/>
      </right>
      <top style="hair">
        <color indexed="53"/>
      </top>
      <bottom/>
      <diagonal/>
    </border>
    <border>
      <left/>
      <right style="thin">
        <color indexed="64"/>
      </right>
      <top style="medium">
        <color indexed="53"/>
      </top>
      <bottom/>
      <diagonal/>
    </border>
    <border>
      <left/>
      <right style="thin">
        <color indexed="64"/>
      </right>
      <top style="dotted">
        <color indexed="53"/>
      </top>
      <bottom style="dotted">
        <color indexed="5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53"/>
      </top>
      <bottom/>
      <diagonal/>
    </border>
    <border>
      <left style="medium">
        <color indexed="64"/>
      </left>
      <right style="thin">
        <color indexed="64"/>
      </right>
      <top style="hair">
        <color indexed="53"/>
      </top>
      <bottom style="hair">
        <color indexed="53"/>
      </bottom>
      <diagonal/>
    </border>
    <border>
      <left style="medium">
        <color indexed="64"/>
      </left>
      <right style="thin">
        <color indexed="64"/>
      </right>
      <top/>
      <bottom/>
      <diagonal/>
    </border>
    <border>
      <left style="medium">
        <color indexed="64"/>
      </left>
      <right style="thin">
        <color indexed="64"/>
      </right>
      <top style="medium">
        <color indexed="53"/>
      </top>
      <bottom style="hair">
        <color indexed="53"/>
      </bottom>
      <diagonal/>
    </border>
    <border>
      <left style="medium">
        <color indexed="64"/>
      </left>
      <right style="thin">
        <color indexed="64"/>
      </right>
      <top style="medium">
        <color indexed="53"/>
      </top>
      <bottom/>
      <diagonal/>
    </border>
    <border>
      <left style="medium">
        <color indexed="64"/>
      </left>
      <right style="thin">
        <color indexed="64"/>
      </right>
      <top style="dotted">
        <color indexed="53"/>
      </top>
      <bottom style="dotted">
        <color indexed="53"/>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53"/>
      </top>
      <bottom style="medium">
        <color theme="5"/>
      </bottom>
      <diagonal/>
    </border>
    <border>
      <left style="thin">
        <color indexed="64"/>
      </left>
      <right style="thin">
        <color indexed="64"/>
      </right>
      <top/>
      <bottom style="medium">
        <color theme="5"/>
      </bottom>
      <diagonal/>
    </border>
    <border>
      <left/>
      <right style="thin">
        <color indexed="64"/>
      </right>
      <top/>
      <bottom style="medium">
        <color them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53"/>
      </top>
      <bottom/>
      <diagonal/>
    </border>
    <border>
      <left/>
      <right style="medium">
        <color indexed="64"/>
      </right>
      <top style="hair">
        <color indexed="53"/>
      </top>
      <bottom style="hair">
        <color indexed="53"/>
      </bottom>
      <diagonal/>
    </border>
    <border>
      <left/>
      <right style="medium">
        <color indexed="64"/>
      </right>
      <top/>
      <bottom/>
      <diagonal/>
    </border>
    <border>
      <left/>
      <right/>
      <top style="hair">
        <color indexed="53"/>
      </top>
      <bottom style="hair">
        <color indexed="53"/>
      </bottom>
      <diagonal/>
    </border>
    <border>
      <left/>
      <right/>
      <top style="medium">
        <color indexed="53"/>
      </top>
      <bottom style="hair">
        <color indexed="53"/>
      </bottom>
      <diagonal/>
    </border>
    <border>
      <left/>
      <right/>
      <top style="medium">
        <color indexed="53"/>
      </top>
      <bottom/>
      <diagonal/>
    </border>
    <border>
      <left/>
      <right/>
      <top style="dotted">
        <color indexed="53"/>
      </top>
      <bottom style="dotted">
        <color indexed="53"/>
      </bottom>
      <diagonal/>
    </border>
    <border>
      <left/>
      <right/>
      <top style="hair">
        <color indexed="53"/>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
    <xf numFmtId="0" fontId="0" fillId="0" borderId="0"/>
    <xf numFmtId="166" fontId="3" fillId="0" borderId="0" applyFont="0" applyFill="0" applyBorder="0" applyAlignment="0" applyProtection="0"/>
    <xf numFmtId="165" fontId="3" fillId="0" borderId="0" applyFont="0" applyFill="0" applyBorder="0" applyAlignment="0" applyProtection="0"/>
    <xf numFmtId="0" fontId="1" fillId="0" borderId="1" applyNumberFormat="0" applyFill="0" applyAlignment="0" applyProtection="0"/>
    <xf numFmtId="0" fontId="5" fillId="0" borderId="0" applyNumberFormat="0" applyFill="0" applyBorder="0" applyAlignment="0" applyProtection="0"/>
    <xf numFmtId="0" fontId="18" fillId="2" borderId="0" applyNumberFormat="0" applyBorder="0" applyAlignment="0" applyProtection="0"/>
    <xf numFmtId="0" fontId="12" fillId="0" borderId="2" applyNumberFormat="0" applyFill="0" applyAlignment="0" applyProtection="0"/>
    <xf numFmtId="0" fontId="9" fillId="3" borderId="0" applyNumberFormat="0" applyBorder="0" applyAlignment="0" applyProtection="0"/>
    <xf numFmtId="0" fontId="9" fillId="4" borderId="0" applyNumberFormat="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166" fontId="14" fillId="0" borderId="0" applyFont="0" applyFill="0" applyBorder="0" applyAlignment="0" applyProtection="0"/>
    <xf numFmtId="0" fontId="14" fillId="0" borderId="0"/>
    <xf numFmtId="0" fontId="5" fillId="0" borderId="0" applyNumberFormat="0" applyFill="0" applyBorder="0" applyAlignment="0" applyProtection="0"/>
  </cellStyleXfs>
  <cellXfs count="528">
    <xf numFmtId="0" fontId="0" fillId="0" borderId="0" xfId="0"/>
    <xf numFmtId="0" fontId="2" fillId="0" borderId="0" xfId="3" applyFont="1" applyBorder="1" applyAlignment="1" applyProtection="1">
      <alignment horizontal="centerContinuous"/>
      <protection locked="0"/>
    </xf>
    <xf numFmtId="0" fontId="2" fillId="0" borderId="0" xfId="3" applyFont="1" applyBorder="1" applyAlignment="1" applyProtection="1">
      <alignment horizontal="center"/>
      <protection locked="0"/>
    </xf>
    <xf numFmtId="0" fontId="4" fillId="0" borderId="0" xfId="0" applyFont="1" applyProtection="1">
      <protection locked="0"/>
    </xf>
    <xf numFmtId="166" fontId="4" fillId="0" borderId="0" xfId="1" applyFont="1" applyProtection="1">
      <protection locked="0"/>
    </xf>
    <xf numFmtId="0" fontId="6" fillId="0" borderId="0" xfId="4" applyFont="1" applyAlignment="1" applyProtection="1">
      <alignment horizontal="centerContinuous" vertical="center"/>
      <protection locked="0"/>
    </xf>
    <xf numFmtId="0" fontId="7" fillId="0" borderId="0" xfId="4" applyFont="1" applyAlignment="1" applyProtection="1">
      <alignment horizontal="centerContinuous" vertical="center"/>
      <protection locked="0"/>
    </xf>
    <xf numFmtId="0" fontId="7" fillId="0" borderId="0" xfId="4" applyFont="1" applyAlignment="1" applyProtection="1">
      <alignment horizontal="center" vertical="center"/>
      <protection locked="0"/>
    </xf>
    <xf numFmtId="0" fontId="6" fillId="0" borderId="0" xfId="0" applyFont="1" applyProtection="1">
      <protection locked="0"/>
    </xf>
    <xf numFmtId="0" fontId="8" fillId="0" borderId="0" xfId="0" applyFont="1" applyAlignment="1" applyProtection="1">
      <alignment horizontal="center"/>
      <protection locked="0"/>
    </xf>
    <xf numFmtId="4" fontId="8" fillId="0" borderId="0" xfId="1" applyNumberFormat="1" applyFont="1" applyAlignment="1" applyProtection="1">
      <alignment horizontal="center"/>
      <protection locked="0"/>
    </xf>
    <xf numFmtId="166" fontId="8" fillId="0" borderId="0" xfId="1" applyFont="1" applyAlignment="1" applyProtection="1">
      <alignment horizontal="center"/>
      <protection locked="0"/>
    </xf>
    <xf numFmtId="4" fontId="4" fillId="0" borderId="0" xfId="1" applyNumberFormat="1" applyFont="1" applyProtection="1">
      <protection locked="0"/>
    </xf>
    <xf numFmtId="0" fontId="4" fillId="0" borderId="0" xfId="1" applyNumberFormat="1" applyFont="1" applyProtection="1">
      <protection locked="0"/>
    </xf>
    <xf numFmtId="0" fontId="4" fillId="0" borderId="0" xfId="1" applyNumberFormat="1" applyFont="1" applyAlignment="1" applyProtection="1">
      <alignment horizontal="center"/>
      <protection locked="0"/>
    </xf>
    <xf numFmtId="0" fontId="8" fillId="0" borderId="0" xfId="0" applyFont="1" applyAlignment="1" applyProtection="1">
      <alignment horizontal="left"/>
      <protection locked="0"/>
    </xf>
    <xf numFmtId="0" fontId="10" fillId="5" borderId="0" xfId="8"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0" fillId="0" borderId="6" xfId="6" applyFont="1" applyBorder="1" applyAlignment="1" applyProtection="1">
      <alignment shrinkToFit="1"/>
      <protection locked="0"/>
    </xf>
    <xf numFmtId="0" fontId="10" fillId="0" borderId="8" xfId="6" applyFont="1" applyBorder="1" applyAlignment="1" applyProtection="1">
      <alignment shrinkToFit="1"/>
      <protection locked="0"/>
    </xf>
    <xf numFmtId="0" fontId="10" fillId="0" borderId="7" xfId="6" applyFont="1" applyBorder="1" applyAlignment="1" applyProtection="1">
      <alignment vertical="center" shrinkToFit="1"/>
      <protection locked="0"/>
    </xf>
    <xf numFmtId="0" fontId="10" fillId="0" borderId="10" xfId="6" applyFont="1" applyBorder="1" applyAlignment="1" applyProtection="1">
      <alignment vertical="center" shrinkToFit="1"/>
      <protection locked="0"/>
    </xf>
    <xf numFmtId="165" fontId="8" fillId="0" borderId="0" xfId="2" applyFont="1" applyAlignment="1" applyProtection="1">
      <alignment horizontal="centerContinuous"/>
      <protection locked="0"/>
    </xf>
    <xf numFmtId="165" fontId="8" fillId="0" borderId="0" xfId="2" applyFont="1" applyAlignment="1" applyProtection="1">
      <alignment horizontal="center"/>
      <protection locked="0"/>
    </xf>
    <xf numFmtId="4" fontId="17" fillId="5" borderId="0" xfId="1" applyNumberFormat="1" applyFont="1" applyFill="1" applyProtection="1">
      <protection locked="0"/>
    </xf>
    <xf numFmtId="4" fontId="17" fillId="5" borderId="0" xfId="5" applyNumberFormat="1" applyFont="1" applyFill="1" applyAlignment="1" applyProtection="1">
      <alignment horizontal="center"/>
      <protection locked="0"/>
    </xf>
    <xf numFmtId="4" fontId="8" fillId="0" borderId="0" xfId="0" applyNumberFormat="1" applyFont="1" applyProtection="1">
      <protection locked="0"/>
    </xf>
    <xf numFmtId="0" fontId="8" fillId="0" borderId="0" xfId="1" applyNumberFormat="1" applyFont="1" applyAlignment="1" applyProtection="1">
      <alignment horizontal="center"/>
      <protection locked="0"/>
    </xf>
    <xf numFmtId="4" fontId="15" fillId="0" borderId="0" xfId="1" applyNumberFormat="1" applyFont="1" applyProtection="1">
      <protection locked="0"/>
    </xf>
    <xf numFmtId="166" fontId="15" fillId="0" borderId="0" xfId="1" applyFont="1" applyProtection="1">
      <protection locked="0"/>
    </xf>
    <xf numFmtId="166" fontId="4" fillId="0" borderId="0" xfId="0" applyNumberFormat="1" applyFont="1" applyProtection="1">
      <protection locked="0"/>
    </xf>
    <xf numFmtId="0" fontId="10" fillId="0" borderId="6" xfId="6" applyFont="1" applyBorder="1" applyAlignment="1" applyProtection="1">
      <alignment horizontal="center" shrinkToFit="1"/>
      <protection locked="0"/>
    </xf>
    <xf numFmtId="0" fontId="10" fillId="0" borderId="8" xfId="6" applyFont="1" applyBorder="1" applyAlignment="1" applyProtection="1">
      <alignment horizontal="center" shrinkToFit="1"/>
      <protection locked="0"/>
    </xf>
    <xf numFmtId="49" fontId="4" fillId="0" borderId="4" xfId="6" applyNumberFormat="1" applyFont="1" applyBorder="1" applyAlignment="1" applyProtection="1">
      <alignment horizontal="center" shrinkToFit="1"/>
      <protection locked="0"/>
    </xf>
    <xf numFmtId="0" fontId="10" fillId="0" borderId="7" xfId="6" applyFont="1" applyBorder="1" applyAlignment="1" applyProtection="1">
      <alignment horizontal="center" vertical="center" shrinkToFit="1"/>
      <protection locked="0"/>
    </xf>
    <xf numFmtId="0" fontId="4" fillId="0" borderId="4" xfId="6" applyFont="1" applyBorder="1" applyAlignment="1" applyProtection="1">
      <alignment horizontal="center" shrinkToFit="1"/>
      <protection locked="0"/>
    </xf>
    <xf numFmtId="0" fontId="4" fillId="0" borderId="0" xfId="0" applyFont="1" applyAlignment="1" applyProtection="1">
      <alignment horizontal="center"/>
      <protection locked="0"/>
    </xf>
    <xf numFmtId="166" fontId="4" fillId="0" borderId="0" xfId="1" applyFont="1" applyAlignment="1" applyProtection="1">
      <alignment horizontal="center"/>
      <protection locked="0"/>
    </xf>
    <xf numFmtId="166" fontId="4" fillId="0" borderId="0" xfId="0" applyNumberFormat="1" applyFont="1" applyAlignment="1" applyProtection="1">
      <alignment horizontal="center"/>
      <protection locked="0"/>
    </xf>
    <xf numFmtId="166" fontId="10" fillId="0" borderId="6" xfId="1" applyFont="1" applyBorder="1" applyAlignment="1" applyProtection="1">
      <alignment horizontal="center" shrinkToFit="1"/>
      <protection locked="0"/>
    </xf>
    <xf numFmtId="166" fontId="10" fillId="0" borderId="8" xfId="1" applyFont="1" applyBorder="1" applyAlignment="1" applyProtection="1">
      <alignment horizontal="center" shrinkToFit="1"/>
      <protection locked="0"/>
    </xf>
    <xf numFmtId="166" fontId="4" fillId="0" borderId="4" xfId="1" applyFont="1" applyBorder="1" applyAlignment="1" applyProtection="1">
      <alignment horizontal="center" shrinkToFit="1"/>
      <protection locked="0"/>
    </xf>
    <xf numFmtId="166" fontId="10" fillId="0" borderId="7" xfId="1" applyFont="1" applyBorder="1" applyAlignment="1" applyProtection="1">
      <alignment horizontal="center" vertical="center" shrinkToFit="1"/>
      <protection locked="0"/>
    </xf>
    <xf numFmtId="166" fontId="10" fillId="0" borderId="4" xfId="1" applyFont="1" applyBorder="1" applyAlignment="1" applyProtection="1">
      <alignment horizontal="center" vertical="center" shrinkToFit="1"/>
      <protection locked="0"/>
    </xf>
    <xf numFmtId="0" fontId="10" fillId="0" borderId="8" xfId="1" applyNumberFormat="1" applyFont="1" applyBorder="1" applyAlignment="1" applyProtection="1">
      <alignment horizontal="center" shrinkToFit="1"/>
      <protection locked="0"/>
    </xf>
    <xf numFmtId="0" fontId="4" fillId="0" borderId="4" xfId="1" applyNumberFormat="1" applyFont="1" applyBorder="1" applyAlignment="1" applyProtection="1">
      <alignment horizontal="center" shrinkToFit="1"/>
      <protection locked="0"/>
    </xf>
    <xf numFmtId="0" fontId="10" fillId="0" borderId="4" xfId="1" applyNumberFormat="1" applyFont="1" applyBorder="1" applyAlignment="1" applyProtection="1">
      <alignment horizontal="center" vertical="center" shrinkToFit="1"/>
      <protection locked="0"/>
    </xf>
    <xf numFmtId="166" fontId="2" fillId="0" borderId="0" xfId="1" applyFont="1" applyBorder="1" applyAlignment="1" applyProtection="1">
      <alignment horizontal="centerContinuous"/>
      <protection locked="0"/>
    </xf>
    <xf numFmtId="166" fontId="7" fillId="0" borderId="0" xfId="1" applyFont="1" applyAlignment="1" applyProtection="1">
      <alignment horizontal="centerContinuous" vertical="center"/>
      <protection locked="0"/>
    </xf>
    <xf numFmtId="166" fontId="10" fillId="0" borderId="8" xfId="1" applyFont="1" applyBorder="1" applyAlignment="1" applyProtection="1">
      <alignment shrinkToFit="1"/>
      <protection locked="0"/>
    </xf>
    <xf numFmtId="166" fontId="4" fillId="0" borderId="4" xfId="1" applyFont="1" applyBorder="1" applyAlignment="1" applyProtection="1">
      <alignment horizontal="left" shrinkToFit="1"/>
      <protection locked="0"/>
    </xf>
    <xf numFmtId="166" fontId="10" fillId="0" borderId="7" xfId="1" applyFont="1" applyBorder="1" applyAlignment="1" applyProtection="1">
      <alignment vertical="center" shrinkToFit="1"/>
      <protection locked="0"/>
    </xf>
    <xf numFmtId="166" fontId="10" fillId="0" borderId="4" xfId="1" applyFont="1" applyBorder="1" applyAlignment="1" applyProtection="1">
      <alignment vertical="center" shrinkToFit="1"/>
      <protection locked="0"/>
    </xf>
    <xf numFmtId="166" fontId="10" fillId="0" borderId="4" xfId="1" applyFont="1" applyBorder="1" applyAlignment="1" applyProtection="1">
      <alignment horizontal="left" vertical="center" shrinkToFit="1"/>
      <protection locked="0"/>
    </xf>
    <xf numFmtId="17" fontId="10" fillId="0" borderId="7" xfId="1" applyNumberFormat="1" applyFont="1" applyBorder="1" applyAlignment="1" applyProtection="1">
      <alignment horizontal="center" vertical="center" shrinkToFit="1"/>
      <protection locked="0"/>
    </xf>
    <xf numFmtId="0" fontId="2" fillId="0" borderId="0" xfId="1" applyNumberFormat="1" applyFont="1" applyBorder="1" applyAlignment="1" applyProtection="1">
      <alignment horizontal="centerContinuous"/>
      <protection locked="0"/>
    </xf>
    <xf numFmtId="0" fontId="7" fillId="0" borderId="0" xfId="1" applyNumberFormat="1" applyFont="1" applyAlignment="1" applyProtection="1">
      <alignment horizontal="centerContinuous" vertical="center"/>
      <protection locked="0"/>
    </xf>
    <xf numFmtId="166" fontId="22" fillId="0" borderId="0" xfId="11" applyFont="1"/>
    <xf numFmtId="0" fontId="22" fillId="0" borderId="0" xfId="10" applyFont="1"/>
    <xf numFmtId="0" fontId="22" fillId="9" borderId="13" xfId="10" applyFont="1" applyFill="1" applyBorder="1" applyAlignment="1">
      <alignment horizontal="center" vertical="center"/>
    </xf>
    <xf numFmtId="166" fontId="16" fillId="9" borderId="13" xfId="11" applyFont="1" applyFill="1" applyBorder="1" applyAlignment="1">
      <alignment horizontal="center" vertical="center"/>
    </xf>
    <xf numFmtId="166" fontId="16" fillId="9" borderId="13" xfId="11" applyFont="1" applyFill="1" applyBorder="1" applyAlignment="1">
      <alignment horizontal="center" vertical="center" wrapText="1"/>
    </xf>
    <xf numFmtId="166" fontId="22" fillId="9" borderId="13" xfId="11" applyFont="1" applyFill="1" applyBorder="1" applyAlignment="1">
      <alignment horizontal="center" vertical="center" wrapText="1"/>
    </xf>
    <xf numFmtId="0" fontId="22" fillId="0" borderId="4" xfId="10" applyFont="1" applyBorder="1" applyAlignment="1">
      <alignment horizontal="center"/>
    </xf>
    <xf numFmtId="43" fontId="22" fillId="0" borderId="0" xfId="10" applyNumberFormat="1" applyFont="1"/>
    <xf numFmtId="0" fontId="22" fillId="0" borderId="18" xfId="10" applyFont="1" applyBorder="1"/>
    <xf numFmtId="0" fontId="22" fillId="5" borderId="4" xfId="10" applyFont="1" applyFill="1" applyBorder="1" applyAlignment="1">
      <alignment horizontal="center"/>
    </xf>
    <xf numFmtId="166" fontId="22" fillId="0" borderId="0" xfId="10" applyNumberFormat="1" applyFont="1"/>
    <xf numFmtId="0" fontId="22" fillId="6" borderId="13" xfId="10" applyFont="1" applyFill="1" applyBorder="1"/>
    <xf numFmtId="0" fontId="22" fillId="6" borderId="13" xfId="10" applyFont="1" applyFill="1" applyBorder="1" applyAlignment="1">
      <alignment horizontal="centerContinuous"/>
    </xf>
    <xf numFmtId="166" fontId="16" fillId="6" borderId="12" xfId="11" applyFont="1" applyFill="1" applyBorder="1"/>
    <xf numFmtId="0" fontId="13" fillId="0" borderId="0" xfId="12" applyFont="1"/>
    <xf numFmtId="166" fontId="13" fillId="0" borderId="13" xfId="11" applyFont="1" applyBorder="1"/>
    <xf numFmtId="166" fontId="22" fillId="0" borderId="0" xfId="11" applyFont="1" applyFill="1" applyBorder="1"/>
    <xf numFmtId="0" fontId="8" fillId="0" borderId="0" xfId="12" applyFont="1" applyAlignment="1">
      <alignment horizontal="center"/>
    </xf>
    <xf numFmtId="0" fontId="8" fillId="0" borderId="0" xfId="12" applyFont="1"/>
    <xf numFmtId="166" fontId="13" fillId="0" borderId="0" xfId="11" applyFont="1" applyBorder="1"/>
    <xf numFmtId="0" fontId="24" fillId="0" borderId="0" xfId="13" applyFont="1" applyAlignment="1">
      <alignment horizontal="left" indent="5"/>
    </xf>
    <xf numFmtId="0" fontId="13" fillId="0" borderId="0" xfId="12" applyFont="1" applyAlignment="1">
      <alignment horizontal="left"/>
    </xf>
    <xf numFmtId="166" fontId="24" fillId="0" borderId="0" xfId="11" applyFont="1" applyAlignment="1">
      <alignment horizontal="left" indent="1"/>
    </xf>
    <xf numFmtId="166" fontId="13" fillId="0" borderId="0" xfId="11" applyFont="1"/>
    <xf numFmtId="0" fontId="22" fillId="0" borderId="0" xfId="10" applyFont="1" applyBorder="1"/>
    <xf numFmtId="0" fontId="22" fillId="5" borderId="5" xfId="10" applyFont="1" applyFill="1" applyBorder="1" applyAlignment="1">
      <alignment horizontal="center"/>
    </xf>
    <xf numFmtId="0" fontId="22" fillId="5" borderId="21" xfId="10" applyFont="1" applyFill="1" applyBorder="1" applyAlignment="1">
      <alignment horizontal="center"/>
    </xf>
    <xf numFmtId="166" fontId="16" fillId="10" borderId="13" xfId="11" applyFont="1" applyFill="1" applyBorder="1"/>
    <xf numFmtId="0" fontId="13" fillId="0" borderId="13" xfId="10" applyFont="1" applyBorder="1" applyAlignment="1">
      <alignment horizontal="left"/>
    </xf>
    <xf numFmtId="0" fontId="13" fillId="0" borderId="5" xfId="10" applyFont="1" applyBorder="1" applyAlignment="1">
      <alignment horizontal="left"/>
    </xf>
    <xf numFmtId="0" fontId="13" fillId="5" borderId="13" xfId="10" applyFont="1" applyFill="1" applyBorder="1" applyAlignment="1">
      <alignment horizontal="left" vertical="center" wrapText="1"/>
    </xf>
    <xf numFmtId="166" fontId="11" fillId="5" borderId="13" xfId="11" applyFont="1" applyFill="1" applyBorder="1"/>
    <xf numFmtId="49" fontId="25" fillId="0" borderId="0" xfId="10" applyNumberFormat="1" applyFont="1"/>
    <xf numFmtId="43" fontId="26" fillId="0" borderId="0" xfId="10" applyNumberFormat="1" applyFont="1"/>
    <xf numFmtId="43" fontId="25" fillId="0" borderId="0" xfId="10" applyNumberFormat="1" applyFont="1"/>
    <xf numFmtId="0" fontId="13" fillId="0" borderId="13" xfId="11" applyNumberFormat="1" applyFont="1" applyBorder="1" applyAlignment="1">
      <alignment horizontal="center"/>
    </xf>
    <xf numFmtId="0" fontId="11" fillId="5" borderId="13" xfId="11" applyNumberFormat="1" applyFont="1" applyFill="1" applyBorder="1" applyAlignment="1">
      <alignment horizontal="center"/>
    </xf>
    <xf numFmtId="0" fontId="27" fillId="0" borderId="4" xfId="10" applyFont="1" applyBorder="1" applyAlignment="1">
      <alignment horizontal="center"/>
    </xf>
    <xf numFmtId="0" fontId="27" fillId="5" borderId="5" xfId="10" applyFont="1" applyFill="1" applyBorder="1" applyAlignment="1">
      <alignment horizontal="center"/>
    </xf>
    <xf numFmtId="0" fontId="27" fillId="5" borderId="4" xfId="10" applyFont="1" applyFill="1" applyBorder="1" applyAlignment="1">
      <alignment horizontal="center"/>
    </xf>
    <xf numFmtId="0" fontId="27" fillId="5" borderId="21" xfId="10" applyFont="1" applyFill="1" applyBorder="1" applyAlignment="1">
      <alignment horizontal="center"/>
    </xf>
    <xf numFmtId="0" fontId="28" fillId="0" borderId="0" xfId="10" applyFont="1"/>
    <xf numFmtId="166" fontId="28" fillId="0" borderId="0" xfId="11" applyFont="1"/>
    <xf numFmtId="0" fontId="28" fillId="9" borderId="13" xfId="10" applyFont="1" applyFill="1" applyBorder="1" applyAlignment="1">
      <alignment horizontal="center" vertical="center"/>
    </xf>
    <xf numFmtId="166" fontId="29" fillId="9" borderId="13" xfId="11" applyFont="1" applyFill="1" applyBorder="1" applyAlignment="1">
      <alignment horizontal="center" vertical="center" wrapText="1"/>
    </xf>
    <xf numFmtId="166" fontId="29" fillId="9" borderId="13" xfId="11" applyFont="1" applyFill="1" applyBorder="1" applyAlignment="1">
      <alignment horizontal="center" vertical="center"/>
    </xf>
    <xf numFmtId="166" fontId="28" fillId="9" borderId="13" xfId="11" applyFont="1" applyFill="1" applyBorder="1" applyAlignment="1">
      <alignment horizontal="center" vertical="center" wrapText="1"/>
    </xf>
    <xf numFmtId="0" fontId="30" fillId="0" borderId="13" xfId="10" applyFont="1" applyBorder="1" applyAlignment="1">
      <alignment horizontal="left"/>
    </xf>
    <xf numFmtId="0" fontId="30" fillId="0" borderId="13" xfId="11" applyNumberFormat="1" applyFont="1" applyBorder="1" applyAlignment="1">
      <alignment horizontal="center"/>
    </xf>
    <xf numFmtId="166" fontId="30" fillId="0" borderId="13" xfId="11" applyFont="1" applyBorder="1"/>
    <xf numFmtId="0" fontId="31" fillId="5" borderId="13" xfId="11" applyNumberFormat="1" applyFont="1" applyFill="1" applyBorder="1" applyAlignment="1">
      <alignment horizontal="center"/>
    </xf>
    <xf numFmtId="0" fontId="30" fillId="0" borderId="5" xfId="10" applyFont="1" applyBorder="1" applyAlignment="1">
      <alignment horizontal="left"/>
    </xf>
    <xf numFmtId="0" fontId="31" fillId="5" borderId="5" xfId="11" applyNumberFormat="1" applyFont="1" applyFill="1" applyBorder="1" applyAlignment="1">
      <alignment horizontal="center"/>
    </xf>
    <xf numFmtId="0" fontId="30" fillId="5" borderId="13" xfId="10" applyFont="1" applyFill="1" applyBorder="1" applyAlignment="1">
      <alignment horizontal="left"/>
    </xf>
    <xf numFmtId="166" fontId="28" fillId="0" borderId="0" xfId="11" applyFont="1" applyFill="1"/>
    <xf numFmtId="0" fontId="28" fillId="0" borderId="13" xfId="12" applyFont="1" applyBorder="1" applyAlignment="1">
      <alignment horizontal="center"/>
    </xf>
    <xf numFmtId="166" fontId="28" fillId="0" borderId="13" xfId="11" applyFont="1" applyBorder="1" applyAlignment="1">
      <alignment horizontal="center"/>
    </xf>
    <xf numFmtId="166" fontId="28" fillId="0" borderId="13" xfId="11" applyFont="1" applyFill="1" applyBorder="1" applyAlignment="1">
      <alignment horizontal="center"/>
    </xf>
    <xf numFmtId="0" fontId="30" fillId="0" borderId="0" xfId="12" applyFont="1"/>
    <xf numFmtId="166" fontId="30" fillId="0" borderId="13" xfId="11" applyFont="1" applyFill="1" applyBorder="1"/>
    <xf numFmtId="9" fontId="30" fillId="0" borderId="13" xfId="9" applyFont="1" applyBorder="1" applyAlignment="1">
      <alignment horizontal="center"/>
    </xf>
    <xf numFmtId="166" fontId="30" fillId="0" borderId="0" xfId="9" applyNumberFormat="1" applyFont="1"/>
    <xf numFmtId="0" fontId="30" fillId="0" borderId="13" xfId="12" applyFont="1" applyBorder="1" applyAlignment="1">
      <alignment horizontal="left"/>
    </xf>
    <xf numFmtId="0" fontId="35" fillId="6" borderId="13" xfId="11" applyNumberFormat="1" applyFont="1" applyFill="1" applyBorder="1" applyAlignment="1">
      <alignment horizontal="center"/>
    </xf>
    <xf numFmtId="43" fontId="13" fillId="0" borderId="13" xfId="12" applyNumberFormat="1" applyFont="1" applyBorder="1" applyAlignment="1">
      <alignment horizontal="center"/>
    </xf>
    <xf numFmtId="0" fontId="36" fillId="0" borderId="4" xfId="6" applyFont="1" applyBorder="1" applyAlignment="1" applyProtection="1">
      <alignment horizontal="left" shrinkToFit="1"/>
      <protection locked="0"/>
    </xf>
    <xf numFmtId="9" fontId="8" fillId="0" borderId="0" xfId="9" applyFont="1" applyAlignment="1" applyProtection="1">
      <alignment horizontal="center"/>
      <protection locked="0"/>
    </xf>
    <xf numFmtId="0" fontId="30" fillId="0" borderId="5" xfId="12" applyFont="1" applyBorder="1" applyAlignment="1">
      <alignment horizontal="left"/>
    </xf>
    <xf numFmtId="0" fontId="30" fillId="0" borderId="21" xfId="12" applyFont="1" applyBorder="1" applyAlignment="1">
      <alignment horizontal="left"/>
    </xf>
    <xf numFmtId="0" fontId="30" fillId="0" borderId="4" xfId="12" applyFont="1" applyBorder="1" applyAlignment="1">
      <alignment horizontal="left"/>
    </xf>
    <xf numFmtId="0" fontId="34" fillId="6" borderId="13" xfId="10" applyFont="1" applyFill="1" applyBorder="1" applyAlignment="1">
      <alignment horizontal="center"/>
    </xf>
    <xf numFmtId="166" fontId="13" fillId="0" borderId="13" xfId="12" applyNumberFormat="1" applyFont="1" applyBorder="1" applyAlignment="1">
      <alignment horizontal="center"/>
    </xf>
    <xf numFmtId="43" fontId="30" fillId="0" borderId="0" xfId="12" applyNumberFormat="1" applyFont="1"/>
    <xf numFmtId="0" fontId="22" fillId="0" borderId="12" xfId="12" applyFont="1" applyBorder="1" applyAlignment="1">
      <alignment horizontal="center"/>
    </xf>
    <xf numFmtId="9" fontId="22" fillId="0" borderId="19" xfId="9" applyFont="1" applyBorder="1" applyAlignment="1">
      <alignment horizontal="center"/>
    </xf>
    <xf numFmtId="0" fontId="40" fillId="14" borderId="22"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 fillId="0" borderId="7" xfId="0" applyFont="1" applyBorder="1" applyAlignment="1" applyProtection="1">
      <alignment horizontal="center"/>
      <protection locked="0"/>
    </xf>
    <xf numFmtId="166" fontId="42" fillId="0" borderId="8" xfId="1" applyFont="1" applyBorder="1" applyAlignment="1">
      <alignment horizontal="center"/>
    </xf>
    <xf numFmtId="0" fontId="4" fillId="0" borderId="10" xfId="0" applyFont="1" applyBorder="1" applyAlignment="1" applyProtection="1">
      <alignment horizontal="center"/>
      <protection locked="0"/>
    </xf>
    <xf numFmtId="0" fontId="4" fillId="0" borderId="0" xfId="0" applyFont="1" applyAlignment="1" applyProtection="1">
      <alignment horizontal="left"/>
      <protection locked="0"/>
    </xf>
    <xf numFmtId="14" fontId="4" fillId="0" borderId="4" xfId="0" applyNumberFormat="1" applyFont="1" applyBorder="1" applyAlignment="1" applyProtection="1">
      <alignment horizontal="center"/>
      <protection locked="0"/>
    </xf>
    <xf numFmtId="14" fontId="4" fillId="0" borderId="0" xfId="0" applyNumberFormat="1" applyFont="1" applyProtection="1">
      <protection locked="0"/>
    </xf>
    <xf numFmtId="166" fontId="42" fillId="0" borderId="4" xfId="1" applyFont="1" applyBorder="1" applyAlignment="1">
      <alignment horizontal="center"/>
    </xf>
    <xf numFmtId="0" fontId="2" fillId="0" borderId="0" xfId="3" applyFont="1" applyBorder="1" applyAlignment="1" applyProtection="1">
      <alignment horizontal="left"/>
      <protection locked="0"/>
    </xf>
    <xf numFmtId="0" fontId="6" fillId="0" borderId="0" xfId="4" applyFont="1" applyAlignment="1" applyProtection="1">
      <alignment horizontal="left" vertical="center"/>
      <protection locked="0"/>
    </xf>
    <xf numFmtId="4" fontId="4" fillId="0" borderId="0" xfId="1" applyNumberFormat="1" applyFont="1" applyAlignment="1" applyProtection="1">
      <alignment horizontal="center"/>
      <protection locked="0"/>
    </xf>
    <xf numFmtId="4" fontId="15" fillId="0" borderId="0" xfId="1" applyNumberFormat="1" applyFont="1" applyAlignment="1" applyProtection="1">
      <alignment horizontal="center"/>
      <protection locked="0"/>
    </xf>
    <xf numFmtId="0" fontId="19" fillId="4" borderId="27" xfId="8" applyFont="1" applyBorder="1" applyAlignment="1" applyProtection="1">
      <alignment horizontal="center" vertical="center" wrapText="1"/>
      <protection locked="0"/>
    </xf>
    <xf numFmtId="0" fontId="8" fillId="0" borderId="35" xfId="0" applyFont="1" applyBorder="1" applyAlignment="1" applyProtection="1">
      <alignment horizontal="centerContinuous"/>
      <protection locked="0"/>
    </xf>
    <xf numFmtId="0" fontId="8" fillId="0" borderId="36" xfId="0" applyFont="1" applyBorder="1" applyAlignment="1" applyProtection="1">
      <alignment horizontal="centerContinuous"/>
      <protection locked="0"/>
    </xf>
    <xf numFmtId="0" fontId="8" fillId="0" borderId="37" xfId="0" applyFont="1" applyBorder="1" applyAlignment="1" applyProtection="1">
      <alignment horizontal="centerContinuous"/>
      <protection locked="0"/>
    </xf>
    <xf numFmtId="0" fontId="8" fillId="0" borderId="37" xfId="0" applyFont="1" applyBorder="1" applyAlignment="1" applyProtection="1">
      <alignment horizontal="center"/>
      <protection locked="0"/>
    </xf>
    <xf numFmtId="166" fontId="8" fillId="0" borderId="37" xfId="0" applyNumberFormat="1" applyFont="1" applyBorder="1" applyAlignment="1" applyProtection="1">
      <alignment horizontal="centerContinuous"/>
      <protection locked="0"/>
    </xf>
    <xf numFmtId="0" fontId="43" fillId="16" borderId="39" xfId="0" applyFont="1" applyFill="1" applyBorder="1" applyAlignment="1">
      <alignment horizontal="center" wrapText="1"/>
    </xf>
    <xf numFmtId="0" fontId="44" fillId="0" borderId="0" xfId="0" applyFont="1"/>
    <xf numFmtId="0" fontId="3" fillId="0" borderId="0" xfId="0" applyFont="1"/>
    <xf numFmtId="166" fontId="4" fillId="0" borderId="8" xfId="1" applyFont="1" applyBorder="1" applyAlignment="1">
      <alignment horizontal="center"/>
    </xf>
    <xf numFmtId="166" fontId="4" fillId="0" borderId="4" xfId="1" applyFont="1" applyBorder="1" applyAlignment="1">
      <alignment horizontal="center"/>
    </xf>
    <xf numFmtId="0" fontId="10" fillId="0" borderId="4" xfId="6" applyFont="1" applyBorder="1" applyAlignment="1" applyProtection="1">
      <alignment horizontal="center" shrinkToFit="1"/>
      <protection locked="0"/>
    </xf>
    <xf numFmtId="166" fontId="10" fillId="0" borderId="4" xfId="1" applyFont="1" applyBorder="1" applyAlignment="1" applyProtection="1">
      <alignment horizontal="center" shrinkToFit="1"/>
      <protection locked="0"/>
    </xf>
    <xf numFmtId="0" fontId="10" fillId="0" borderId="4" xfId="1" applyNumberFormat="1" applyFont="1" applyBorder="1" applyAlignment="1" applyProtection="1">
      <alignment horizontal="center" shrinkToFit="1"/>
      <protection locked="0"/>
    </xf>
    <xf numFmtId="0" fontId="13" fillId="5" borderId="13" xfId="10" applyFont="1" applyFill="1" applyBorder="1" applyAlignment="1">
      <alignment horizontal="left"/>
    </xf>
    <xf numFmtId="0" fontId="10" fillId="0" borderId="29" xfId="6" applyFont="1" applyBorder="1" applyAlignment="1" applyProtection="1">
      <alignment horizontal="center"/>
      <protection locked="0"/>
    </xf>
    <xf numFmtId="166" fontId="10" fillId="0" borderId="7" xfId="1" applyFont="1" applyBorder="1" applyAlignment="1" applyProtection="1">
      <alignment horizontal="center" shrinkToFit="1"/>
      <protection locked="0"/>
    </xf>
    <xf numFmtId="43" fontId="4" fillId="5" borderId="7" xfId="1" applyNumberFormat="1" applyFont="1" applyFill="1" applyBorder="1" applyAlignment="1" applyProtection="1">
      <protection locked="0"/>
    </xf>
    <xf numFmtId="0" fontId="10" fillId="0" borderId="0" xfId="6" applyFont="1" applyBorder="1" applyAlignment="1" applyProtection="1">
      <protection locked="0"/>
    </xf>
    <xf numFmtId="0" fontId="41" fillId="5" borderId="30" xfId="6" applyFont="1" applyFill="1" applyBorder="1" applyAlignment="1" applyProtection="1">
      <alignment horizontal="center"/>
      <protection locked="0"/>
    </xf>
    <xf numFmtId="0" fontId="41" fillId="5" borderId="3" xfId="6" applyFont="1" applyFill="1" applyBorder="1" applyAlignment="1" applyProtection="1">
      <alignment horizontal="center"/>
      <protection locked="0"/>
    </xf>
    <xf numFmtId="4" fontId="4" fillId="0" borderId="10" xfId="1" applyNumberFormat="1" applyFont="1" applyBorder="1" applyAlignment="1" applyProtection="1">
      <protection locked="0"/>
    </xf>
    <xf numFmtId="4" fontId="4" fillId="0" borderId="4" xfId="1" applyNumberFormat="1" applyFont="1" applyBorder="1" applyAlignment="1" applyProtection="1">
      <protection locked="0"/>
    </xf>
    <xf numFmtId="0" fontId="41" fillId="5" borderId="31" xfId="6" applyFont="1" applyFill="1" applyBorder="1" applyAlignment="1" applyProtection="1">
      <alignment horizontal="center"/>
      <protection locked="0"/>
    </xf>
    <xf numFmtId="0" fontId="4" fillId="0" borderId="32" xfId="6" applyFont="1" applyBorder="1" applyAlignment="1" applyProtection="1">
      <alignment horizontal="center"/>
      <protection locked="0"/>
    </xf>
    <xf numFmtId="0" fontId="4" fillId="0" borderId="11" xfId="6" applyFont="1" applyBorder="1" applyAlignment="1" applyProtection="1">
      <alignment horizontal="center"/>
      <protection locked="0"/>
    </xf>
    <xf numFmtId="0" fontId="10" fillId="0" borderId="7" xfId="6" applyFont="1" applyBorder="1" applyAlignment="1" applyProtection="1">
      <alignment shrinkToFit="1"/>
      <protection locked="0"/>
    </xf>
    <xf numFmtId="0" fontId="41" fillId="5" borderId="9" xfId="6" applyFont="1" applyFill="1" applyBorder="1" applyAlignment="1" applyProtection="1">
      <alignment horizontal="center"/>
      <protection locked="0"/>
    </xf>
    <xf numFmtId="166" fontId="4" fillId="0" borderId="0" xfId="1" applyFont="1" applyAlignment="1" applyProtection="1">
      <protection locked="0"/>
    </xf>
    <xf numFmtId="4" fontId="10" fillId="0" borderId="10" xfId="1" applyNumberFormat="1" applyFont="1" applyBorder="1" applyAlignment="1" applyProtection="1">
      <protection locked="0"/>
    </xf>
    <xf numFmtId="4" fontId="10" fillId="0" borderId="4" xfId="1" applyNumberFormat="1" applyFont="1" applyBorder="1" applyAlignment="1" applyProtection="1">
      <protection locked="0"/>
    </xf>
    <xf numFmtId="166" fontId="28" fillId="0" borderId="40" xfId="11" applyFont="1" applyFill="1" applyBorder="1" applyAlignment="1">
      <alignment horizontal="center"/>
    </xf>
    <xf numFmtId="0" fontId="13" fillId="0" borderId="40" xfId="10" applyFont="1" applyBorder="1" applyAlignment="1">
      <alignment horizontal="left"/>
    </xf>
    <xf numFmtId="0" fontId="13" fillId="0" borderId="41" xfId="10" applyFont="1" applyBorder="1" applyAlignment="1">
      <alignment horizontal="left"/>
    </xf>
    <xf numFmtId="166" fontId="8" fillId="0" borderId="37" xfId="0" applyNumberFormat="1" applyFont="1" applyBorder="1" applyAlignment="1" applyProtection="1">
      <alignment horizontal="left"/>
      <protection locked="0"/>
    </xf>
    <xf numFmtId="43" fontId="45" fillId="0" borderId="0" xfId="10" applyNumberFormat="1" applyFont="1"/>
    <xf numFmtId="166" fontId="8" fillId="10" borderId="37" xfId="0" applyNumberFormat="1" applyFont="1" applyFill="1" applyBorder="1" applyAlignment="1" applyProtection="1">
      <alignment horizontal="centerContinuous"/>
      <protection locked="0"/>
    </xf>
    <xf numFmtId="0" fontId="4" fillId="0" borderId="10" xfId="6" applyFont="1" applyBorder="1" applyAlignment="1" applyProtection="1">
      <alignment shrinkToFit="1"/>
      <protection locked="0"/>
    </xf>
    <xf numFmtId="0" fontId="30" fillId="0" borderId="45" xfId="10" applyFont="1" applyBorder="1" applyAlignment="1">
      <alignment horizontal="left"/>
    </xf>
    <xf numFmtId="9" fontId="30" fillId="0" borderId="45" xfId="9" applyFont="1" applyBorder="1" applyAlignment="1">
      <alignment horizontal="center"/>
    </xf>
    <xf numFmtId="0" fontId="13" fillId="0" borderId="45" xfId="10" applyFont="1" applyBorder="1" applyAlignment="1">
      <alignment horizontal="left"/>
    </xf>
    <xf numFmtId="0" fontId="13" fillId="0" borderId="46" xfId="10" applyFont="1" applyBorder="1" applyAlignment="1">
      <alignment horizontal="left"/>
    </xf>
    <xf numFmtId="0" fontId="30" fillId="0" borderId="22" xfId="10" applyFont="1" applyBorder="1" applyAlignment="1">
      <alignment horizontal="left"/>
    </xf>
    <xf numFmtId="4" fontId="10" fillId="11" borderId="47" xfId="7" applyNumberFormat="1" applyFont="1" applyFill="1" applyBorder="1" applyAlignment="1" applyProtection="1">
      <alignment horizontal="center"/>
      <protection hidden="1"/>
    </xf>
    <xf numFmtId="4" fontId="10" fillId="11" borderId="48" xfId="7" applyNumberFormat="1" applyFont="1" applyFill="1" applyBorder="1" applyAlignment="1" applyProtection="1">
      <alignment horizontal="center"/>
      <protection hidden="1"/>
    </xf>
    <xf numFmtId="4" fontId="10" fillId="11" borderId="49" xfId="7" applyNumberFormat="1" applyFont="1" applyFill="1" applyBorder="1" applyAlignment="1" applyProtection="1">
      <alignment horizontal="center"/>
      <protection hidden="1"/>
    </xf>
    <xf numFmtId="0" fontId="4" fillId="0" borderId="50" xfId="0" applyFont="1" applyBorder="1" applyAlignment="1" applyProtection="1">
      <alignment horizontal="center"/>
      <protection locked="0"/>
    </xf>
    <xf numFmtId="14" fontId="4" fillId="0" borderId="0" xfId="0" applyNumberFormat="1" applyFont="1" applyAlignment="1" applyProtection="1">
      <alignment horizontal="center"/>
      <protection locked="0"/>
    </xf>
    <xf numFmtId="0" fontId="4" fillId="0" borderId="51" xfId="0" applyFont="1" applyBorder="1" applyAlignment="1" applyProtection="1">
      <alignment horizontal="center"/>
      <protection locked="0"/>
    </xf>
    <xf numFmtId="166" fontId="8" fillId="0" borderId="36" xfId="0" applyNumberFormat="1" applyFont="1" applyBorder="1" applyAlignment="1" applyProtection="1">
      <alignment horizontal="centerContinuous"/>
      <protection locked="0"/>
    </xf>
    <xf numFmtId="4" fontId="10" fillId="11" borderId="6" xfId="7" applyNumberFormat="1" applyFont="1" applyFill="1" applyBorder="1" applyAlignment="1" applyProtection="1">
      <alignment horizontal="center"/>
      <protection hidden="1"/>
    </xf>
    <xf numFmtId="4" fontId="10" fillId="11" borderId="10" xfId="7" applyNumberFormat="1" applyFont="1" applyFill="1" applyBorder="1" applyAlignment="1" applyProtection="1">
      <alignment horizontal="center"/>
      <protection hidden="1"/>
    </xf>
    <xf numFmtId="4" fontId="10" fillId="11" borderId="4" xfId="7" applyNumberFormat="1" applyFont="1" applyFill="1" applyBorder="1" applyAlignment="1" applyProtection="1">
      <alignment horizontal="center"/>
      <protection hidden="1"/>
    </xf>
    <xf numFmtId="4" fontId="4" fillId="11" borderId="7" xfId="7" applyNumberFormat="1" applyFont="1" applyFill="1" applyBorder="1" applyAlignment="1" applyProtection="1">
      <alignment horizontal="center"/>
      <protection hidden="1"/>
    </xf>
    <xf numFmtId="4" fontId="4" fillId="11" borderId="10" xfId="7" applyNumberFormat="1" applyFont="1" applyFill="1" applyBorder="1" applyAlignment="1" applyProtection="1">
      <alignment horizontal="center"/>
      <protection hidden="1"/>
    </xf>
    <xf numFmtId="4" fontId="4" fillId="11" borderId="4" xfId="7" applyNumberFormat="1" applyFont="1" applyFill="1" applyBorder="1" applyAlignment="1" applyProtection="1">
      <alignment horizontal="center"/>
      <protection hidden="1"/>
    </xf>
    <xf numFmtId="166" fontId="8" fillId="0" borderId="37" xfId="0" applyNumberFormat="1" applyFont="1" applyBorder="1" applyAlignment="1" applyProtection="1">
      <alignment horizontal="center"/>
      <protection locked="0"/>
    </xf>
    <xf numFmtId="166" fontId="10" fillId="0" borderId="7" xfId="1" applyFont="1" applyFill="1" applyBorder="1" applyAlignment="1" applyProtection="1">
      <alignment horizontal="center" shrinkToFit="1"/>
      <protection locked="0"/>
    </xf>
    <xf numFmtId="0" fontId="30" fillId="0" borderId="45" xfId="12" applyFont="1" applyBorder="1" applyAlignment="1">
      <alignment horizontal="left"/>
    </xf>
    <xf numFmtId="49" fontId="36" fillId="0" borderId="4" xfId="6" applyNumberFormat="1" applyFont="1" applyBorder="1" applyAlignment="1" applyProtection="1">
      <alignment horizontal="left" shrinkToFit="1"/>
      <protection locked="0"/>
    </xf>
    <xf numFmtId="0" fontId="46" fillId="0" borderId="0" xfId="0" applyFont="1" applyProtection="1">
      <protection locked="0"/>
    </xf>
    <xf numFmtId="166" fontId="6" fillId="0" borderId="0" xfId="1" applyFont="1" applyAlignment="1" applyProtection="1">
      <alignment horizontal="centerContinuous" vertical="center"/>
      <protection locked="0"/>
    </xf>
    <xf numFmtId="0" fontId="6" fillId="0" borderId="0" xfId="1" applyNumberFormat="1" applyFont="1" applyAlignment="1" applyProtection="1">
      <alignment horizontal="centerContinuous" vertical="center"/>
      <protection locked="0"/>
    </xf>
    <xf numFmtId="0" fontId="6" fillId="0" borderId="0" xfId="4" applyFont="1" applyAlignment="1" applyProtection="1">
      <alignment horizontal="center" vertical="center"/>
      <protection locked="0"/>
    </xf>
    <xf numFmtId="0" fontId="6" fillId="0" borderId="0" xfId="0" applyFont="1" applyAlignment="1" applyProtection="1">
      <alignment horizontal="center"/>
      <protection locked="0"/>
    </xf>
    <xf numFmtId="166" fontId="6" fillId="0" borderId="0" xfId="1" applyFont="1" applyAlignment="1" applyProtection="1">
      <alignment horizontal="center"/>
      <protection locked="0"/>
    </xf>
    <xf numFmtId="0" fontId="6" fillId="0" borderId="0" xfId="1" applyNumberFormat="1" applyFont="1" applyAlignment="1" applyProtection="1">
      <alignment horizontal="center"/>
      <protection locked="0"/>
    </xf>
    <xf numFmtId="4" fontId="6" fillId="0" borderId="0" xfId="1" applyNumberFormat="1" applyFont="1" applyAlignment="1" applyProtection="1">
      <alignment horizontal="center"/>
      <protection locked="0"/>
    </xf>
    <xf numFmtId="4" fontId="46" fillId="0" borderId="0" xfId="1" applyNumberFormat="1" applyFont="1" applyProtection="1">
      <protection locked="0"/>
    </xf>
    <xf numFmtId="0" fontId="46" fillId="0" borderId="0" xfId="1" applyNumberFormat="1" applyFont="1" applyAlignment="1" applyProtection="1">
      <alignment horizontal="center"/>
      <protection locked="0"/>
    </xf>
    <xf numFmtId="4" fontId="46" fillId="0" borderId="0" xfId="1" applyNumberFormat="1" applyFont="1" applyAlignment="1" applyProtection="1">
      <alignment horizontal="center"/>
      <protection locked="0"/>
    </xf>
    <xf numFmtId="0" fontId="46" fillId="0" borderId="0" xfId="1" applyNumberFormat="1" applyFont="1" applyProtection="1">
      <protection locked="0"/>
    </xf>
    <xf numFmtId="0" fontId="6" fillId="0" borderId="0" xfId="0" applyFont="1" applyAlignment="1" applyProtection="1">
      <alignment horizontal="left"/>
      <protection locked="0"/>
    </xf>
    <xf numFmtId="9" fontId="6" fillId="0" borderId="0" xfId="9" applyFont="1" applyAlignment="1" applyProtection="1">
      <alignment horizontal="center"/>
      <protection locked="0"/>
    </xf>
    <xf numFmtId="0" fontId="6" fillId="0" borderId="38" xfId="0" applyFont="1" applyBorder="1" applyProtection="1">
      <protection locked="0"/>
    </xf>
    <xf numFmtId="0" fontId="6" fillId="0" borderId="38" xfId="0" applyFont="1" applyBorder="1" applyAlignment="1" applyProtection="1">
      <alignment horizontal="center"/>
      <protection locked="0"/>
    </xf>
    <xf numFmtId="166" fontId="6" fillId="0" borderId="38" xfId="1" applyFont="1" applyBorder="1" applyAlignment="1" applyProtection="1">
      <alignment horizontal="center"/>
      <protection locked="0"/>
    </xf>
    <xf numFmtId="166" fontId="6" fillId="10" borderId="38" xfId="1" applyFont="1" applyFill="1" applyBorder="1" applyAlignment="1" applyProtection="1">
      <alignment horizontal="center"/>
      <protection locked="0"/>
    </xf>
    <xf numFmtId="4" fontId="6" fillId="0" borderId="0" xfId="1" applyNumberFormat="1" applyFont="1" applyProtection="1">
      <protection locked="0"/>
    </xf>
    <xf numFmtId="0" fontId="46" fillId="0" borderId="0" xfId="0" applyFont="1" applyAlignment="1" applyProtection="1">
      <alignment horizontal="center"/>
      <protection locked="0"/>
    </xf>
    <xf numFmtId="166" fontId="46" fillId="0" borderId="0" xfId="1" applyFont="1" applyAlignment="1" applyProtection="1">
      <alignment horizontal="center"/>
      <protection locked="0"/>
    </xf>
    <xf numFmtId="166" fontId="46" fillId="0" borderId="0" xfId="1" applyFont="1" applyProtection="1">
      <protection locked="0"/>
    </xf>
    <xf numFmtId="4" fontId="2" fillId="0" borderId="0" xfId="1" applyNumberFormat="1" applyFont="1" applyProtection="1">
      <protection locked="0"/>
    </xf>
    <xf numFmtId="166" fontId="2" fillId="0" borderId="0" xfId="1" applyFont="1" applyProtection="1">
      <protection locked="0"/>
    </xf>
    <xf numFmtId="4" fontId="2" fillId="0" borderId="0" xfId="1" applyNumberFormat="1" applyFont="1" applyAlignment="1" applyProtection="1">
      <alignment horizontal="center"/>
      <protection locked="0"/>
    </xf>
    <xf numFmtId="0" fontId="46" fillId="0" borderId="0" xfId="0" applyFont="1"/>
    <xf numFmtId="166" fontId="46" fillId="0" borderId="0" xfId="0" applyNumberFormat="1" applyFont="1" applyProtection="1">
      <protection locked="0"/>
    </xf>
    <xf numFmtId="166" fontId="46" fillId="0" borderId="0" xfId="0" applyNumberFormat="1" applyFont="1" applyAlignment="1" applyProtection="1">
      <alignment horizontal="center"/>
      <protection locked="0"/>
    </xf>
    <xf numFmtId="0" fontId="10" fillId="11" borderId="3" xfId="6" applyFont="1" applyFill="1" applyBorder="1" applyAlignment="1" applyProtection="1">
      <alignment horizontal="center"/>
      <protection locked="0"/>
    </xf>
    <xf numFmtId="0" fontId="49" fillId="0" borderId="0" xfId="10" applyFont="1" applyAlignment="1">
      <alignment horizontal="left"/>
    </xf>
    <xf numFmtId="0" fontId="49" fillId="0" borderId="0" xfId="10" applyFont="1" applyAlignment="1">
      <alignment horizontal="centerContinuous"/>
    </xf>
    <xf numFmtId="166" fontId="49" fillId="0" borderId="0" xfId="11" applyFont="1" applyAlignment="1">
      <alignment horizontal="centerContinuous"/>
    </xf>
    <xf numFmtId="0" fontId="49" fillId="0" borderId="0" xfId="10" applyFont="1"/>
    <xf numFmtId="0" fontId="8" fillId="0" borderId="0" xfId="10" applyFont="1"/>
    <xf numFmtId="0" fontId="37" fillId="0" borderId="0" xfId="10" applyFont="1" applyAlignment="1">
      <alignment horizontal="left"/>
    </xf>
    <xf numFmtId="0" fontId="37" fillId="0" borderId="0" xfId="10" applyFont="1"/>
    <xf numFmtId="166" fontId="37" fillId="0" borderId="0" xfId="11" applyFont="1"/>
    <xf numFmtId="9" fontId="37" fillId="7" borderId="0" xfId="9" applyFont="1" applyFill="1" applyAlignment="1">
      <alignment horizontal="center"/>
    </xf>
    <xf numFmtId="166" fontId="50" fillId="0" borderId="0" xfId="11" applyFont="1" applyAlignment="1">
      <alignment horizontal="right"/>
    </xf>
    <xf numFmtId="166" fontId="8" fillId="0" borderId="0" xfId="11" applyFont="1"/>
    <xf numFmtId="0" fontId="47" fillId="4" borderId="3" xfId="8" applyFont="1" applyBorder="1" applyAlignment="1" applyProtection="1">
      <alignment horizontal="center" vertical="center" wrapText="1"/>
      <protection locked="0"/>
    </xf>
    <xf numFmtId="0" fontId="47" fillId="4" borderId="4" xfId="8" applyFont="1" applyBorder="1" applyAlignment="1" applyProtection="1">
      <alignment horizontal="center" vertical="center" wrapText="1"/>
      <protection locked="0"/>
    </xf>
    <xf numFmtId="0" fontId="47" fillId="4" borderId="27" xfId="8" applyFont="1" applyBorder="1" applyAlignment="1" applyProtection="1">
      <alignment horizontal="center" vertical="center" wrapText="1"/>
      <protection locked="0"/>
    </xf>
    <xf numFmtId="0" fontId="51" fillId="14" borderId="22" xfId="0" applyFont="1" applyFill="1" applyBorder="1" applyAlignment="1">
      <alignment horizontal="center" vertical="center" wrapText="1"/>
    </xf>
    <xf numFmtId="166" fontId="47" fillId="4" borderId="4" xfId="1" applyFont="1" applyFill="1" applyBorder="1" applyAlignment="1" applyProtection="1">
      <alignment horizontal="center" vertical="center" wrapText="1"/>
      <protection locked="0"/>
    </xf>
    <xf numFmtId="0" fontId="47" fillId="4" borderId="4" xfId="1" applyNumberFormat="1" applyFont="1" applyFill="1" applyBorder="1" applyAlignment="1" applyProtection="1">
      <alignment horizontal="center" vertical="center" wrapText="1"/>
      <protection locked="0"/>
    </xf>
    <xf numFmtId="166" fontId="47" fillId="12" borderId="4" xfId="1" applyFont="1" applyFill="1" applyBorder="1" applyAlignment="1" applyProtection="1">
      <alignment horizontal="center" vertical="center" wrapText="1"/>
      <protection locked="0"/>
    </xf>
    <xf numFmtId="4" fontId="47" fillId="12" borderId="4" xfId="8" applyNumberFormat="1" applyFont="1" applyFill="1" applyBorder="1" applyAlignment="1" applyProtection="1">
      <alignment horizontal="center" vertical="center" wrapText="1"/>
      <protection locked="0"/>
    </xf>
    <xf numFmtId="4" fontId="52" fillId="13" borderId="4" xfId="8" applyNumberFormat="1" applyFont="1" applyFill="1" applyBorder="1" applyAlignment="1" applyProtection="1">
      <alignment horizontal="center" vertical="center" wrapText="1"/>
      <protection hidden="1"/>
    </xf>
    <xf numFmtId="0" fontId="47" fillId="5" borderId="0" xfId="8" applyFont="1" applyFill="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166" fontId="10" fillId="0" borderId="7" xfId="1" applyFont="1" applyFill="1" applyBorder="1" applyAlignment="1" applyProtection="1">
      <alignment vertical="center" shrinkToFit="1"/>
      <protection locked="0"/>
    </xf>
    <xf numFmtId="4" fontId="4" fillId="3" borderId="7" xfId="7" applyNumberFormat="1" applyFont="1" applyBorder="1" applyProtection="1">
      <protection hidden="1"/>
    </xf>
    <xf numFmtId="4" fontId="10" fillId="0" borderId="7" xfId="7" applyNumberFormat="1" applyFont="1" applyFill="1" applyBorder="1" applyAlignment="1" applyProtection="1">
      <alignment horizontal="center"/>
      <protection hidden="1"/>
    </xf>
    <xf numFmtId="0" fontId="10" fillId="0" borderId="0" xfId="6" applyFont="1" applyBorder="1" applyAlignment="1" applyProtection="1">
      <alignment vertical="center"/>
      <protection locked="0"/>
    </xf>
    <xf numFmtId="166" fontId="10" fillId="0" borderId="4" xfId="1" applyFont="1" applyFill="1" applyBorder="1" applyAlignment="1" applyProtection="1">
      <alignment vertical="center" shrinkToFit="1"/>
      <protection locked="0"/>
    </xf>
    <xf numFmtId="4" fontId="10" fillId="0" borderId="14" xfId="1" applyNumberFormat="1" applyFont="1" applyBorder="1" applyAlignment="1" applyProtection="1">
      <alignment vertical="center"/>
      <protection locked="0"/>
    </xf>
    <xf numFmtId="4" fontId="10" fillId="0" borderId="4" xfId="1" applyNumberFormat="1" applyFont="1" applyBorder="1" applyAlignment="1" applyProtection="1">
      <alignment vertical="center"/>
      <protection locked="0"/>
    </xf>
    <xf numFmtId="4" fontId="10" fillId="3" borderId="10" xfId="7" applyNumberFormat="1" applyFont="1" applyBorder="1" applyProtection="1">
      <protection hidden="1"/>
    </xf>
    <xf numFmtId="0" fontId="36" fillId="0" borderId="4" xfId="6" applyFont="1" applyFill="1" applyBorder="1" applyAlignment="1" applyProtection="1">
      <alignment horizontal="left" vertical="center" shrinkToFit="1"/>
      <protection locked="0"/>
    </xf>
    <xf numFmtId="166" fontId="10" fillId="0" borderId="4" xfId="1" applyFont="1" applyFill="1" applyBorder="1" applyAlignment="1" applyProtection="1">
      <alignment horizontal="left" vertical="center" shrinkToFit="1"/>
      <protection locked="0"/>
    </xf>
    <xf numFmtId="4" fontId="10" fillId="3" borderId="15" xfId="7" applyNumberFormat="1" applyFont="1" applyBorder="1" applyProtection="1">
      <protection hidden="1"/>
    </xf>
    <xf numFmtId="4" fontId="10" fillId="0" borderId="4" xfId="7" applyNumberFormat="1" applyFont="1" applyFill="1" applyBorder="1" applyAlignment="1" applyProtection="1">
      <alignment horizontal="center"/>
      <protection hidden="1"/>
    </xf>
    <xf numFmtId="0" fontId="10" fillId="11" borderId="16" xfId="6" quotePrefix="1" applyFont="1" applyFill="1" applyBorder="1" applyAlignment="1" applyProtection="1">
      <alignment horizontal="center" vertical="center"/>
      <protection locked="0"/>
    </xf>
    <xf numFmtId="166" fontId="10" fillId="0" borderId="6" xfId="1" applyFont="1" applyBorder="1" applyAlignment="1" applyProtection="1">
      <alignment vertical="center" shrinkToFit="1"/>
      <protection locked="0"/>
    </xf>
    <xf numFmtId="0" fontId="4" fillId="0" borderId="6" xfId="0" applyFont="1" applyBorder="1" applyAlignment="1" applyProtection="1">
      <alignment horizontal="center"/>
      <protection locked="0"/>
    </xf>
    <xf numFmtId="4" fontId="10" fillId="0" borderId="6" xfId="7" applyNumberFormat="1" applyFont="1" applyFill="1" applyBorder="1" applyAlignment="1" applyProtection="1">
      <alignment horizontal="center"/>
      <protection hidden="1"/>
    </xf>
    <xf numFmtId="0" fontId="10" fillId="0" borderId="10" xfId="6" applyFont="1" applyFill="1" applyBorder="1" applyAlignment="1" applyProtection="1">
      <alignment vertical="center" shrinkToFit="1"/>
      <protection locked="0"/>
    </xf>
    <xf numFmtId="0" fontId="4" fillId="0" borderId="14" xfId="0" applyFont="1" applyBorder="1" applyAlignment="1" applyProtection="1">
      <alignment horizontal="center"/>
      <protection locked="0"/>
    </xf>
    <xf numFmtId="4" fontId="10" fillId="0" borderId="14" xfId="7" applyNumberFormat="1" applyFont="1" applyFill="1" applyBorder="1" applyAlignment="1" applyProtection="1">
      <alignment horizontal="center"/>
      <protection hidden="1"/>
    </xf>
    <xf numFmtId="0" fontId="4" fillId="0" borderId="4" xfId="0" applyFont="1" applyBorder="1" applyAlignment="1" applyProtection="1">
      <alignment horizontal="center"/>
      <protection locked="0"/>
    </xf>
    <xf numFmtId="0" fontId="10" fillId="0" borderId="16" xfId="6" applyFont="1" applyBorder="1" applyAlignment="1" applyProtection="1">
      <alignment horizontal="center" vertical="center"/>
      <protection locked="0"/>
    </xf>
    <xf numFmtId="0" fontId="41" fillId="5" borderId="17" xfId="6" applyFont="1" applyFill="1" applyBorder="1" applyAlignment="1" applyProtection="1">
      <alignment horizontal="center" vertical="center"/>
      <protection locked="0"/>
    </xf>
    <xf numFmtId="0" fontId="41" fillId="5" borderId="42" xfId="6" applyFont="1" applyFill="1" applyBorder="1" applyAlignment="1" applyProtection="1">
      <alignment horizontal="center" vertical="center"/>
      <protection locked="0"/>
    </xf>
    <xf numFmtId="0" fontId="53" fillId="0" borderId="0" xfId="0" applyFont="1" applyProtection="1">
      <protection locked="0"/>
    </xf>
    <xf numFmtId="166" fontId="10" fillId="0" borderId="7" xfId="1" applyFont="1" applyFill="1" applyBorder="1" applyAlignment="1" applyProtection="1">
      <alignment horizontal="center" vertical="center" shrinkToFit="1"/>
      <protection locked="0"/>
    </xf>
    <xf numFmtId="4" fontId="10" fillId="0" borderId="7" xfId="1" applyNumberFormat="1" applyFont="1" applyFill="1" applyBorder="1" applyAlignment="1" applyProtection="1">
      <alignment vertical="center"/>
      <protection locked="0"/>
    </xf>
    <xf numFmtId="4" fontId="10" fillId="0" borderId="6" xfId="1" applyNumberFormat="1" applyFont="1" applyFill="1" applyBorder="1" applyAlignment="1" applyProtection="1">
      <alignment vertical="center"/>
      <protection locked="0"/>
    </xf>
    <xf numFmtId="0" fontId="8" fillId="11" borderId="3" xfId="6" applyFont="1" applyFill="1" applyBorder="1" applyAlignment="1" applyProtection="1">
      <alignment horizontal="center" vertical="center"/>
      <protection locked="0"/>
    </xf>
    <xf numFmtId="166" fontId="36" fillId="0" borderId="4" xfId="1" applyFont="1" applyBorder="1" applyAlignment="1" applyProtection="1">
      <alignment horizontal="center" vertical="center" shrinkToFit="1"/>
      <protection locked="0"/>
    </xf>
    <xf numFmtId="0" fontId="41" fillId="11" borderId="44" xfId="6" applyFont="1" applyFill="1" applyBorder="1" applyAlignment="1" applyProtection="1">
      <alignment horizontal="center" vertical="center"/>
      <protection locked="0"/>
    </xf>
    <xf numFmtId="0" fontId="36" fillId="0" borderId="43" xfId="6" applyFont="1" applyBorder="1" applyAlignment="1" applyProtection="1">
      <alignment horizontal="left" vertical="center" shrinkToFit="1"/>
      <protection locked="0"/>
    </xf>
    <xf numFmtId="166" fontId="4" fillId="0" borderId="43" xfId="1" applyFont="1" applyBorder="1" applyAlignment="1" applyProtection="1">
      <alignment horizontal="center" shrinkToFit="1"/>
      <protection locked="0"/>
    </xf>
    <xf numFmtId="0" fontId="38" fillId="11" borderId="3" xfId="6" applyFont="1" applyFill="1" applyBorder="1" applyAlignment="1" applyProtection="1">
      <alignment horizontal="center" vertical="center"/>
      <protection locked="0"/>
    </xf>
    <xf numFmtId="17" fontId="10" fillId="0" borderId="4" xfId="1" applyNumberFormat="1" applyFont="1" applyBorder="1" applyAlignment="1" applyProtection="1">
      <alignment horizontal="center" vertical="center" shrinkToFit="1"/>
      <protection locked="0"/>
    </xf>
    <xf numFmtId="0" fontId="8" fillId="5" borderId="3" xfId="6" applyFont="1" applyFill="1" applyBorder="1" applyAlignment="1" applyProtection="1">
      <alignment horizontal="center" vertical="center"/>
      <protection locked="0"/>
    </xf>
    <xf numFmtId="0" fontId="41" fillId="5" borderId="44" xfId="6" applyFont="1" applyFill="1" applyBorder="1" applyAlignment="1" applyProtection="1">
      <alignment horizontal="center" vertical="center"/>
      <protection locked="0"/>
    </xf>
    <xf numFmtId="49" fontId="10" fillId="0" borderId="16" xfId="6" quotePrefix="1" applyNumberFormat="1" applyFont="1" applyBorder="1" applyAlignment="1" applyProtection="1">
      <alignment horizontal="center" vertical="center"/>
      <protection locked="0"/>
    </xf>
    <xf numFmtId="0" fontId="10" fillId="0" borderId="16" xfId="6" quotePrefix="1" applyFont="1" applyBorder="1" applyAlignment="1" applyProtection="1">
      <alignment horizontal="center" vertical="center"/>
      <protection locked="0"/>
    </xf>
    <xf numFmtId="0" fontId="22" fillId="0" borderId="56" xfId="12" applyFont="1" applyBorder="1" applyAlignment="1">
      <alignment horizontal="center"/>
    </xf>
    <xf numFmtId="0" fontId="13" fillId="0" borderId="56" xfId="12" applyFont="1" applyBorder="1" applyAlignment="1">
      <alignment horizontal="center"/>
    </xf>
    <xf numFmtId="9" fontId="13" fillId="0" borderId="56" xfId="9" applyFont="1" applyBorder="1" applyAlignment="1">
      <alignment horizontal="center"/>
    </xf>
    <xf numFmtId="166" fontId="13" fillId="0" borderId="56" xfId="12" applyNumberFormat="1" applyFont="1" applyBorder="1" applyAlignment="1">
      <alignment horizontal="center"/>
    </xf>
    <xf numFmtId="0" fontId="30" fillId="0" borderId="5" xfId="10" applyFont="1" applyBorder="1" applyAlignment="1">
      <alignment wrapText="1"/>
    </xf>
    <xf numFmtId="0" fontId="30" fillId="5" borderId="5" xfId="10" applyFont="1" applyFill="1" applyBorder="1" applyAlignment="1">
      <alignment horizontal="center"/>
    </xf>
    <xf numFmtId="166" fontId="30" fillId="0" borderId="13" xfId="11" applyFont="1" applyBorder="1" applyAlignment="1"/>
    <xf numFmtId="166" fontId="31" fillId="8" borderId="13" xfId="11" applyFont="1" applyFill="1" applyBorder="1" applyAlignment="1"/>
    <xf numFmtId="166" fontId="30" fillId="5" borderId="13" xfId="11" applyFont="1" applyFill="1" applyBorder="1" applyAlignment="1"/>
    <xf numFmtId="0" fontId="45" fillId="0" borderId="0" xfId="10" applyFont="1" applyAlignment="1"/>
    <xf numFmtId="0" fontId="22" fillId="0" borderId="0" xfId="10" applyFont="1" applyAlignment="1"/>
    <xf numFmtId="49" fontId="25" fillId="0" borderId="0" xfId="10" applyNumberFormat="1" applyFont="1" applyAlignment="1"/>
    <xf numFmtId="0" fontId="30" fillId="0" borderId="4" xfId="10" applyFont="1" applyBorder="1" applyAlignment="1"/>
    <xf numFmtId="0" fontId="30" fillId="5" borderId="4" xfId="10" applyFont="1" applyFill="1" applyBorder="1" applyAlignment="1">
      <alignment horizontal="center"/>
    </xf>
    <xf numFmtId="166" fontId="30" fillId="0" borderId="13" xfId="11" applyFont="1" applyFill="1" applyBorder="1" applyAlignment="1"/>
    <xf numFmtId="43" fontId="26" fillId="0" borderId="0" xfId="10" applyNumberFormat="1" applyFont="1" applyAlignment="1"/>
    <xf numFmtId="43" fontId="22" fillId="0" borderId="0" xfId="10" applyNumberFormat="1" applyFont="1" applyAlignment="1"/>
    <xf numFmtId="0" fontId="30" fillId="0" borderId="4" xfId="10" applyFont="1" applyBorder="1" applyAlignment="1">
      <alignment horizontal="right"/>
    </xf>
    <xf numFmtId="0" fontId="30" fillId="0" borderId="21" xfId="10" applyFont="1" applyBorder="1" applyAlignment="1">
      <alignment horizontal="right"/>
    </xf>
    <xf numFmtId="0" fontId="30" fillId="5" borderId="21" xfId="10" applyFont="1" applyFill="1" applyBorder="1" applyAlignment="1">
      <alignment horizontal="center"/>
    </xf>
    <xf numFmtId="0" fontId="30" fillId="5" borderId="5" xfId="10" applyFont="1" applyFill="1" applyBorder="1" applyAlignment="1"/>
    <xf numFmtId="166" fontId="31" fillId="5" borderId="13" xfId="11" applyFont="1" applyFill="1" applyBorder="1" applyAlignment="1"/>
    <xf numFmtId="43" fontId="25" fillId="0" borderId="0" xfId="10" applyNumberFormat="1" applyFont="1" applyAlignment="1"/>
    <xf numFmtId="0" fontId="22" fillId="0" borderId="18" xfId="10" applyFont="1" applyBorder="1" applyAlignment="1"/>
    <xf numFmtId="0" fontId="30" fillId="5" borderId="4" xfId="10" applyFont="1" applyFill="1" applyBorder="1" applyAlignment="1"/>
    <xf numFmtId="164" fontId="13" fillId="5" borderId="4" xfId="10" applyNumberFormat="1" applyFont="1" applyFill="1" applyBorder="1" applyAlignment="1">
      <alignment horizontal="center"/>
    </xf>
    <xf numFmtId="0" fontId="22" fillId="0" borderId="0" xfId="10" applyFont="1" applyBorder="1" applyAlignment="1"/>
    <xf numFmtId="164" fontId="13" fillId="5" borderId="21" xfId="10" applyNumberFormat="1" applyFont="1" applyFill="1" applyBorder="1" applyAlignment="1">
      <alignment horizontal="center"/>
    </xf>
    <xf numFmtId="0" fontId="30" fillId="5" borderId="5" xfId="10" applyFont="1" applyFill="1" applyBorder="1" applyAlignment="1">
      <alignment wrapText="1"/>
    </xf>
    <xf numFmtId="0" fontId="30" fillId="5" borderId="13" xfId="10" applyFont="1" applyFill="1" applyBorder="1" applyAlignment="1">
      <alignment horizontal="left" wrapText="1"/>
    </xf>
    <xf numFmtId="166" fontId="22" fillId="0" borderId="0" xfId="10" applyNumberFormat="1" applyFont="1" applyAlignment="1"/>
    <xf numFmtId="0" fontId="30" fillId="5" borderId="4" xfId="10" applyFont="1" applyFill="1" applyBorder="1" applyAlignment="1">
      <alignment wrapText="1"/>
    </xf>
    <xf numFmtId="0" fontId="30" fillId="5" borderId="21" xfId="10" applyFont="1" applyFill="1" applyBorder="1" applyAlignment="1">
      <alignment horizontal="right" wrapText="1"/>
    </xf>
    <xf numFmtId="0" fontId="33" fillId="6" borderId="13" xfId="10" applyFont="1" applyFill="1" applyBorder="1" applyAlignment="1"/>
    <xf numFmtId="166" fontId="35" fillId="6" borderId="12" xfId="11" applyFont="1" applyFill="1" applyBorder="1" applyAlignment="1"/>
    <xf numFmtId="166" fontId="34" fillId="10" borderId="13" xfId="11" applyFont="1" applyFill="1" applyBorder="1" applyAlignment="1"/>
    <xf numFmtId="0" fontId="28" fillId="0" borderId="0" xfId="10" applyFont="1" applyAlignment="1"/>
    <xf numFmtId="166" fontId="28" fillId="0" borderId="0" xfId="11" applyFont="1" applyAlignment="1"/>
    <xf numFmtId="166" fontId="28" fillId="0" borderId="0" xfId="11" applyFont="1" applyFill="1" applyAlignment="1"/>
    <xf numFmtId="0" fontId="32" fillId="0" borderId="13" xfId="12" applyFont="1" applyBorder="1"/>
    <xf numFmtId="166" fontId="13" fillId="0" borderId="13" xfId="9" applyNumberFormat="1" applyFont="1" applyBorder="1" applyAlignment="1">
      <alignment horizontal="center"/>
    </xf>
    <xf numFmtId="166" fontId="13" fillId="0" borderId="13" xfId="11" applyFont="1" applyBorder="1" applyAlignment="1"/>
    <xf numFmtId="166" fontId="13" fillId="0" borderId="13" xfId="11" applyFont="1" applyFill="1" applyBorder="1" applyAlignment="1"/>
    <xf numFmtId="166" fontId="13" fillId="0" borderId="13" xfId="9" applyNumberFormat="1" applyFont="1" applyFill="1" applyBorder="1" applyAlignment="1">
      <alignment horizontal="center"/>
    </xf>
    <xf numFmtId="0" fontId="32" fillId="0" borderId="40" xfId="12" applyFont="1" applyBorder="1"/>
    <xf numFmtId="0" fontId="32" fillId="0" borderId="45" xfId="12" applyFont="1" applyBorder="1"/>
    <xf numFmtId="166" fontId="13" fillId="0" borderId="13" xfId="9" applyNumberFormat="1" applyFont="1" applyBorder="1" applyAlignment="1"/>
    <xf numFmtId="166" fontId="13" fillId="0" borderId="0" xfId="12" applyNumberFormat="1" applyFont="1"/>
    <xf numFmtId="0" fontId="39" fillId="0" borderId="19" xfId="12" applyFont="1" applyBorder="1"/>
    <xf numFmtId="166" fontId="22" fillId="0" borderId="19" xfId="9" applyNumberFormat="1" applyFont="1" applyBorder="1" applyAlignment="1">
      <alignment horizontal="center"/>
    </xf>
    <xf numFmtId="166" fontId="22" fillId="0" borderId="20" xfId="11" applyFont="1" applyBorder="1" applyAlignment="1"/>
    <xf numFmtId="166" fontId="22" fillId="10" borderId="13" xfId="11" applyFont="1" applyFill="1" applyBorder="1" applyAlignment="1"/>
    <xf numFmtId="0" fontId="22" fillId="0" borderId="13" xfId="12" applyFont="1" applyBorder="1"/>
    <xf numFmtId="166" fontId="22" fillId="10" borderId="13" xfId="12" applyNumberFormat="1" applyFont="1" applyFill="1" applyBorder="1"/>
    <xf numFmtId="0" fontId="22" fillId="0" borderId="0" xfId="12" applyFont="1"/>
    <xf numFmtId="166" fontId="13" fillId="0" borderId="0" xfId="11" applyFont="1" applyBorder="1" applyAlignment="1"/>
    <xf numFmtId="166" fontId="22" fillId="0" borderId="0" xfId="11" applyFont="1" applyFill="1" applyBorder="1" applyAlignment="1"/>
    <xf numFmtId="166" fontId="13" fillId="11" borderId="0" xfId="11" applyFont="1" applyFill="1" applyAlignment="1"/>
    <xf numFmtId="166" fontId="22" fillId="0" borderId="0" xfId="11" applyFont="1" applyAlignment="1"/>
    <xf numFmtId="166" fontId="13" fillId="0" borderId="0" xfId="11" applyFont="1" applyAlignment="1"/>
    <xf numFmtId="166" fontId="30" fillId="0" borderId="0" xfId="9" applyNumberFormat="1" applyFont="1" applyAlignment="1"/>
    <xf numFmtId="166" fontId="30" fillId="11" borderId="13" xfId="11" applyFont="1" applyFill="1" applyBorder="1" applyAlignment="1"/>
    <xf numFmtId="166" fontId="22" fillId="10" borderId="0" xfId="11" applyFont="1" applyFill="1" applyBorder="1" applyAlignment="1"/>
    <xf numFmtId="0" fontId="30" fillId="0" borderId="57" xfId="10" applyFont="1" applyBorder="1" applyAlignment="1">
      <alignment horizontal="left"/>
    </xf>
    <xf numFmtId="9" fontId="30" fillId="0" borderId="56" xfId="9" applyFont="1" applyBorder="1" applyAlignment="1">
      <alignment horizontal="center"/>
    </xf>
    <xf numFmtId="0" fontId="32" fillId="0" borderId="56" xfId="12" applyFont="1" applyBorder="1"/>
    <xf numFmtId="0" fontId="13" fillId="0" borderId="58" xfId="10" applyFont="1" applyBorder="1" applyAlignment="1">
      <alignment horizontal="left"/>
    </xf>
    <xf numFmtId="0" fontId="13" fillId="0" borderId="59" xfId="10" applyFont="1" applyBorder="1" applyAlignment="1">
      <alignment horizontal="left"/>
    </xf>
    <xf numFmtId="9" fontId="54" fillId="17" borderId="0" xfId="0" applyNumberFormat="1" applyFont="1" applyFill="1" applyAlignment="1">
      <alignment horizontal="center"/>
    </xf>
    <xf numFmtId="9" fontId="30" fillId="0" borderId="58" xfId="9" applyFont="1" applyBorder="1" applyAlignment="1">
      <alignment horizontal="center"/>
    </xf>
    <xf numFmtId="166" fontId="13" fillId="0" borderId="58" xfId="12" applyNumberFormat="1" applyFont="1" applyBorder="1" applyAlignment="1">
      <alignment horizontal="center"/>
    </xf>
    <xf numFmtId="0" fontId="13" fillId="0" borderId="55" xfId="12" applyFont="1" applyBorder="1" applyAlignment="1">
      <alignment horizontal="center"/>
    </xf>
    <xf numFmtId="0" fontId="30" fillId="0" borderId="58" xfId="12" applyFont="1" applyBorder="1" applyAlignment="1">
      <alignment horizontal="left"/>
    </xf>
    <xf numFmtId="0" fontId="32" fillId="0" borderId="58" xfId="12" applyFont="1" applyBorder="1"/>
    <xf numFmtId="43" fontId="13" fillId="0" borderId="58" xfId="12" applyNumberFormat="1" applyFont="1" applyBorder="1" applyAlignment="1">
      <alignment horizontal="center"/>
    </xf>
    <xf numFmtId="0" fontId="13" fillId="0" borderId="58" xfId="12" applyFont="1" applyBorder="1" applyAlignment="1">
      <alignment horizontal="center"/>
    </xf>
    <xf numFmtId="9" fontId="13" fillId="0" borderId="58" xfId="9" applyFont="1" applyBorder="1" applyAlignment="1">
      <alignment horizontal="center"/>
    </xf>
    <xf numFmtId="0" fontId="4" fillId="0" borderId="0" xfId="12" applyFont="1" applyAlignment="1">
      <alignment vertical="center"/>
    </xf>
    <xf numFmtId="166" fontId="4" fillId="0" borderId="10" xfId="1" applyFont="1" applyBorder="1" applyAlignment="1" applyProtection="1">
      <alignment horizontal="left" shrinkToFit="1"/>
      <protection locked="0"/>
    </xf>
    <xf numFmtId="4" fontId="10" fillId="11" borderId="7" xfId="7" applyNumberFormat="1" applyFont="1" applyFill="1" applyBorder="1" applyAlignment="1" applyProtection="1">
      <alignment horizontal="center"/>
      <protection hidden="1"/>
    </xf>
    <xf numFmtId="0" fontId="4" fillId="0" borderId="52" xfId="0" applyFont="1" applyBorder="1" applyAlignment="1" applyProtection="1">
      <alignment horizontal="center"/>
      <protection locked="0"/>
    </xf>
    <xf numFmtId="4" fontId="10" fillId="11" borderId="14" xfId="7" applyNumberFormat="1" applyFont="1" applyFill="1" applyBorder="1" applyAlignment="1" applyProtection="1">
      <alignment horizontal="center"/>
      <protection hidden="1"/>
    </xf>
    <xf numFmtId="0" fontId="4" fillId="0" borderId="53" xfId="0" applyFont="1" applyBorder="1" applyAlignment="1" applyProtection="1">
      <alignment horizontal="center"/>
      <protection locked="0"/>
    </xf>
    <xf numFmtId="0" fontId="4" fillId="0" borderId="15" xfId="0" applyFont="1" applyBorder="1" applyAlignment="1" applyProtection="1">
      <alignment horizontal="center"/>
      <protection locked="0"/>
    </xf>
    <xf numFmtId="4" fontId="10" fillId="0" borderId="15" xfId="7" applyNumberFormat="1" applyFont="1" applyFill="1" applyBorder="1" applyAlignment="1" applyProtection="1">
      <alignment horizontal="center"/>
      <protection hidden="1"/>
    </xf>
    <xf numFmtId="0" fontId="4" fillId="0" borderId="54" xfId="0" applyFont="1" applyBorder="1" applyAlignment="1" applyProtection="1">
      <alignment horizontal="center"/>
      <protection locked="0"/>
    </xf>
    <xf numFmtId="166" fontId="13" fillId="18" borderId="13" xfId="1" applyFont="1" applyFill="1" applyBorder="1" applyAlignment="1"/>
    <xf numFmtId="166" fontId="22" fillId="10" borderId="0" xfId="11" applyFont="1" applyFill="1" applyBorder="1"/>
    <xf numFmtId="0" fontId="8" fillId="19" borderId="13" xfId="12" applyFont="1" applyFill="1" applyBorder="1" applyAlignment="1">
      <alignment horizontal="center" vertical="center"/>
    </xf>
    <xf numFmtId="166" fontId="8" fillId="19" borderId="13" xfId="11" applyFont="1" applyFill="1" applyBorder="1" applyAlignment="1">
      <alignment horizontal="center" vertical="center"/>
    </xf>
    <xf numFmtId="0" fontId="8" fillId="19" borderId="56" xfId="12" applyFont="1" applyFill="1" applyBorder="1" applyAlignment="1">
      <alignment horizontal="center" vertical="center"/>
    </xf>
    <xf numFmtId="0" fontId="37" fillId="19" borderId="12" xfId="12" applyFont="1" applyFill="1" applyBorder="1"/>
    <xf numFmtId="0" fontId="37" fillId="19" borderId="19" xfId="12" applyFont="1" applyFill="1" applyBorder="1"/>
    <xf numFmtId="0" fontId="37" fillId="19" borderId="20" xfId="12" applyFont="1" applyFill="1" applyBorder="1"/>
    <xf numFmtId="0" fontId="8" fillId="19" borderId="58" xfId="12" applyFont="1" applyFill="1" applyBorder="1" applyAlignment="1">
      <alignment horizontal="center" vertical="center"/>
    </xf>
    <xf numFmtId="166" fontId="8" fillId="19" borderId="58" xfId="11" applyFont="1" applyFill="1" applyBorder="1" applyAlignment="1">
      <alignment horizontal="center" vertical="center"/>
    </xf>
    <xf numFmtId="0" fontId="8" fillId="19" borderId="58" xfId="12" applyFont="1" applyFill="1" applyBorder="1" applyAlignment="1">
      <alignment horizontal="center" vertical="center" wrapText="1"/>
    </xf>
    <xf numFmtId="0" fontId="8" fillId="19" borderId="55" xfId="12" applyFont="1" applyFill="1" applyBorder="1" applyAlignment="1">
      <alignment horizontal="center" vertical="center"/>
    </xf>
    <xf numFmtId="166" fontId="4" fillId="0" borderId="4" xfId="1" applyFont="1" applyFill="1" applyBorder="1" applyAlignment="1">
      <alignment horizontal="center"/>
    </xf>
    <xf numFmtId="166" fontId="10" fillId="0" borderId="4" xfId="1" applyFont="1" applyFill="1" applyBorder="1" applyAlignment="1" applyProtection="1">
      <alignment horizontal="center" vertical="center" shrinkToFit="1"/>
      <protection locked="0"/>
    </xf>
    <xf numFmtId="166" fontId="47" fillId="20" borderId="4" xfId="1" applyFont="1" applyFill="1" applyBorder="1" applyAlignment="1" applyProtection="1">
      <alignment horizontal="center" vertical="center" wrapText="1"/>
      <protection locked="0"/>
    </xf>
    <xf numFmtId="166" fontId="47" fillId="21" borderId="4" xfId="1" applyFont="1" applyFill="1" applyBorder="1" applyAlignment="1" applyProtection="1">
      <alignment horizontal="center" vertical="center" wrapText="1"/>
      <protection locked="0"/>
    </xf>
    <xf numFmtId="0" fontId="48" fillId="4" borderId="4" xfId="8" applyFont="1" applyBorder="1" applyAlignment="1" applyProtection="1">
      <alignment horizontal="center" vertical="center" wrapText="1"/>
      <protection locked="0"/>
    </xf>
    <xf numFmtId="0" fontId="51" fillId="22" borderId="22" xfId="0" applyFont="1" applyFill="1" applyBorder="1" applyAlignment="1">
      <alignment horizontal="center" vertical="center" wrapText="1"/>
    </xf>
    <xf numFmtId="17" fontId="10" fillId="0" borderId="7" xfId="1" quotePrefix="1" applyNumberFormat="1" applyFont="1" applyBorder="1" applyAlignment="1" applyProtection="1">
      <alignment horizontal="center" vertical="center" shrinkToFit="1"/>
      <protection locked="0"/>
    </xf>
    <xf numFmtId="0" fontId="55" fillId="0" borderId="10" xfId="0" applyFont="1" applyBorder="1" applyAlignment="1" applyProtection="1">
      <alignment horizontal="center"/>
      <protection locked="0"/>
    </xf>
    <xf numFmtId="0" fontId="55" fillId="0" borderId="14" xfId="0" applyFont="1" applyBorder="1" applyAlignment="1" applyProtection="1">
      <alignment horizontal="center"/>
      <protection locked="0"/>
    </xf>
    <xf numFmtId="166" fontId="10" fillId="0" borderId="6" xfId="1" applyFont="1" applyBorder="1" applyAlignment="1" applyProtection="1">
      <alignment shrinkToFit="1"/>
      <protection locked="0"/>
    </xf>
    <xf numFmtId="0" fontId="10" fillId="12" borderId="27" xfId="1" applyNumberFormat="1" applyFont="1" applyFill="1" applyBorder="1" applyAlignment="1" applyProtection="1">
      <alignment horizontal="center" vertical="center" wrapText="1"/>
      <protection locked="0"/>
    </xf>
    <xf numFmtId="17" fontId="10" fillId="0" borderId="7" xfId="1" quotePrefix="1" applyNumberFormat="1" applyFont="1" applyBorder="1" applyAlignment="1" applyProtection="1">
      <alignment horizontal="center" shrinkToFit="1"/>
      <protection locked="0"/>
    </xf>
    <xf numFmtId="166" fontId="13" fillId="0" borderId="58" xfId="9" applyNumberFormat="1" applyFont="1" applyBorder="1" applyAlignment="1">
      <alignment horizontal="center"/>
    </xf>
    <xf numFmtId="166" fontId="13" fillId="0" borderId="58" xfId="11" applyFont="1" applyBorder="1" applyAlignment="1"/>
    <xf numFmtId="166" fontId="13" fillId="0" borderId="58" xfId="11" applyFont="1" applyFill="1" applyBorder="1" applyAlignment="1"/>
    <xf numFmtId="166" fontId="13" fillId="0" borderId="58" xfId="1" applyFont="1" applyBorder="1" applyAlignment="1"/>
    <xf numFmtId="166" fontId="13" fillId="0" borderId="58" xfId="12" applyNumberFormat="1" applyFont="1" applyBorder="1"/>
    <xf numFmtId="166" fontId="13" fillId="18" borderId="58" xfId="9" applyNumberFormat="1" applyFont="1" applyFill="1" applyBorder="1" applyAlignment="1"/>
    <xf numFmtId="166" fontId="13" fillId="0" borderId="58" xfId="9" applyNumberFormat="1" applyFont="1" applyFill="1" applyBorder="1" applyAlignment="1">
      <alignment horizontal="center"/>
    </xf>
    <xf numFmtId="0" fontId="23" fillId="0" borderId="58" xfId="12" applyFont="1" applyBorder="1"/>
    <xf numFmtId="10" fontId="13" fillId="0" borderId="58" xfId="9" applyNumberFormat="1" applyFont="1" applyBorder="1" applyAlignment="1">
      <alignment horizontal="center"/>
    </xf>
    <xf numFmtId="166" fontId="22" fillId="0" borderId="58" xfId="11" applyFont="1" applyFill="1" applyBorder="1" applyAlignment="1"/>
    <xf numFmtId="166" fontId="22" fillId="10" borderId="58" xfId="11" applyFont="1" applyFill="1" applyBorder="1" applyAlignment="1"/>
    <xf numFmtId="0" fontId="13" fillId="0" borderId="58" xfId="12" applyFont="1" applyBorder="1"/>
    <xf numFmtId="43" fontId="4" fillId="5" borderId="6" xfId="1" applyNumberFormat="1" applyFont="1" applyFill="1" applyBorder="1" applyAlignment="1" applyProtection="1">
      <protection locked="0"/>
    </xf>
    <xf numFmtId="166" fontId="10" fillId="0" borderId="6" xfId="1" applyFont="1" applyBorder="1" applyAlignment="1" applyProtection="1">
      <alignment horizontal="right" wrapText="1" shrinkToFit="1"/>
      <protection locked="0"/>
    </xf>
    <xf numFmtId="17" fontId="10" fillId="0" borderId="7" xfId="1" applyNumberFormat="1" applyFont="1" applyBorder="1" applyAlignment="1" applyProtection="1">
      <alignment horizontal="center" shrinkToFit="1"/>
      <protection locked="0"/>
    </xf>
    <xf numFmtId="164" fontId="56" fillId="5" borderId="5" xfId="10" applyNumberFormat="1" applyFont="1" applyFill="1" applyBorder="1" applyAlignment="1">
      <alignment horizontal="center" wrapText="1"/>
    </xf>
    <xf numFmtId="0" fontId="36" fillId="0" borderId="4" xfId="6" applyFont="1" applyBorder="1" applyAlignment="1" applyProtection="1">
      <alignment horizontal="left" wrapText="1" shrinkToFit="1"/>
      <protection locked="0"/>
    </xf>
    <xf numFmtId="166" fontId="10" fillId="0" borderId="7" xfId="1" applyFont="1" applyBorder="1" applyAlignment="1" applyProtection="1">
      <alignment shrinkToFit="1"/>
      <protection locked="0"/>
    </xf>
    <xf numFmtId="4" fontId="10" fillId="3" borderId="6" xfId="7" applyNumberFormat="1" applyFont="1" applyBorder="1" applyAlignment="1" applyProtection="1">
      <protection hidden="1"/>
    </xf>
    <xf numFmtId="4" fontId="10" fillId="3" borderId="10" xfId="7" applyNumberFormat="1" applyFont="1" applyBorder="1" applyAlignment="1" applyProtection="1">
      <protection hidden="1"/>
    </xf>
    <xf numFmtId="4" fontId="10" fillId="3" borderId="4" xfId="7" applyNumberFormat="1" applyFont="1" applyBorder="1" applyAlignment="1" applyProtection="1">
      <protection hidden="1"/>
    </xf>
    <xf numFmtId="0" fontId="10" fillId="0" borderId="32" xfId="6" applyFont="1" applyBorder="1" applyAlignment="1" applyProtection="1">
      <alignment horizontal="center"/>
      <protection locked="0"/>
    </xf>
    <xf numFmtId="0" fontId="10" fillId="0" borderId="11" xfId="6" applyFont="1" applyBorder="1" applyAlignment="1" applyProtection="1">
      <alignment horizontal="center"/>
      <protection locked="0"/>
    </xf>
    <xf numFmtId="0" fontId="10" fillId="0" borderId="10" xfId="6" applyFont="1" applyBorder="1" applyAlignment="1" applyProtection="1">
      <alignment shrinkToFit="1"/>
      <protection locked="0"/>
    </xf>
    <xf numFmtId="0" fontId="10" fillId="0" borderId="33" xfId="6" applyFont="1" applyBorder="1" applyAlignment="1" applyProtection="1">
      <alignment horizontal="center"/>
      <protection locked="0"/>
    </xf>
    <xf numFmtId="0" fontId="41" fillId="5" borderId="34" xfId="6" applyFont="1" applyFill="1" applyBorder="1" applyAlignment="1" applyProtection="1">
      <alignment horizontal="center"/>
      <protection locked="0"/>
    </xf>
    <xf numFmtId="0" fontId="10" fillId="0" borderId="16" xfId="6" applyFont="1" applyBorder="1" applyAlignment="1" applyProtection="1">
      <alignment horizontal="center"/>
      <protection locked="0"/>
    </xf>
    <xf numFmtId="0" fontId="10" fillId="0" borderId="7" xfId="1" applyNumberFormat="1" applyFont="1" applyBorder="1" applyAlignment="1" applyProtection="1">
      <alignment horizontal="center" shrinkToFit="1"/>
      <protection locked="0"/>
    </xf>
    <xf numFmtId="0" fontId="8" fillId="0" borderId="0" xfId="0" applyFont="1" applyProtection="1">
      <protection locked="0"/>
    </xf>
    <xf numFmtId="0" fontId="47" fillId="4" borderId="25" xfId="8" applyFont="1" applyBorder="1" applyAlignment="1" applyProtection="1">
      <alignment horizontal="center" vertical="center" wrapText="1"/>
      <protection locked="0"/>
    </xf>
    <xf numFmtId="0" fontId="47" fillId="4" borderId="26" xfId="8" applyFont="1" applyBorder="1" applyAlignment="1" applyProtection="1">
      <alignment horizontal="center" vertical="center" wrapText="1"/>
      <protection locked="0"/>
    </xf>
    <xf numFmtId="0" fontId="57" fillId="14" borderId="28" xfId="0" applyFont="1" applyFill="1" applyBorder="1" applyAlignment="1">
      <alignment horizontal="center" vertical="center" wrapText="1"/>
    </xf>
    <xf numFmtId="166" fontId="47" fillId="4" borderId="27" xfId="1" applyFont="1" applyFill="1" applyBorder="1" applyAlignment="1" applyProtection="1">
      <alignment horizontal="center" vertical="center" wrapText="1"/>
      <protection locked="0"/>
    </xf>
    <xf numFmtId="0" fontId="47" fillId="4" borderId="27" xfId="1" applyNumberFormat="1" applyFont="1" applyFill="1" applyBorder="1" applyAlignment="1" applyProtection="1">
      <alignment horizontal="center" vertical="center" wrapText="1"/>
      <protection locked="0"/>
    </xf>
    <xf numFmtId="166" fontId="47" fillId="12" borderId="27" xfId="1" applyFont="1" applyFill="1" applyBorder="1" applyAlignment="1" applyProtection="1">
      <alignment horizontal="center" vertical="center" wrapText="1"/>
      <protection locked="0"/>
    </xf>
    <xf numFmtId="0" fontId="58" fillId="0" borderId="4" xfId="6" applyFont="1" applyBorder="1" applyAlignment="1" applyProtection="1">
      <alignment horizontal="left" vertical="center" shrinkToFit="1"/>
      <protection locked="0"/>
    </xf>
    <xf numFmtId="0" fontId="11" fillId="0" borderId="11" xfId="6" applyFont="1" applyFill="1" applyBorder="1" applyAlignment="1" applyProtection="1">
      <alignment horizontal="center" vertical="center"/>
      <protection locked="0"/>
    </xf>
    <xf numFmtId="0" fontId="11" fillId="0" borderId="11" xfId="6" quotePrefix="1" applyFont="1" applyFill="1" applyBorder="1" applyAlignment="1" applyProtection="1">
      <alignment horizontal="center" vertical="center"/>
      <protection locked="0"/>
    </xf>
    <xf numFmtId="0" fontId="11" fillId="0" borderId="7" xfId="6" applyFont="1" applyFill="1" applyBorder="1" applyAlignment="1" applyProtection="1">
      <alignment vertical="center" shrinkToFit="1"/>
      <protection locked="0"/>
    </xf>
    <xf numFmtId="0" fontId="11" fillId="0" borderId="7" xfId="6" applyFont="1" applyFill="1" applyBorder="1" applyAlignment="1" applyProtection="1">
      <alignment horizontal="center" vertical="center" shrinkToFit="1"/>
      <protection locked="0"/>
    </xf>
    <xf numFmtId="166" fontId="11" fillId="0" borderId="7" xfId="1" applyFont="1" applyFill="1" applyBorder="1" applyAlignment="1" applyProtection="1">
      <alignment horizontal="center" vertical="center" shrinkToFit="1"/>
      <protection locked="0"/>
    </xf>
    <xf numFmtId="17" fontId="11" fillId="0" borderId="7" xfId="1" quotePrefix="1" applyNumberFormat="1" applyFont="1" applyFill="1" applyBorder="1" applyAlignment="1" applyProtection="1">
      <alignment horizontal="center" vertical="center" shrinkToFit="1"/>
      <protection locked="0"/>
    </xf>
    <xf numFmtId="166" fontId="11" fillId="0" borderId="7" xfId="1" applyFont="1" applyFill="1" applyBorder="1" applyAlignment="1" applyProtection="1">
      <alignment vertical="center" shrinkToFit="1"/>
      <protection locked="0"/>
    </xf>
    <xf numFmtId="166" fontId="11" fillId="0" borderId="6" xfId="1" applyFont="1" applyFill="1" applyBorder="1" applyAlignment="1" applyProtection="1">
      <alignment horizontal="center" vertical="center" shrinkToFit="1"/>
      <protection locked="0"/>
    </xf>
    <xf numFmtId="4" fontId="11" fillId="0" borderId="7" xfId="1" applyNumberFormat="1" applyFont="1" applyFill="1" applyBorder="1" applyAlignment="1" applyProtection="1">
      <alignment vertical="center"/>
      <protection locked="0"/>
    </xf>
    <xf numFmtId="4" fontId="13" fillId="0" borderId="7" xfId="7" applyNumberFormat="1" applyFont="1" applyFill="1" applyBorder="1" applyProtection="1">
      <protection hidden="1"/>
    </xf>
    <xf numFmtId="0" fontId="13" fillId="0" borderId="7" xfId="0" applyFont="1" applyFill="1" applyBorder="1" applyAlignment="1" applyProtection="1">
      <alignment horizontal="center"/>
      <protection locked="0"/>
    </xf>
    <xf numFmtId="4" fontId="11" fillId="0" borderId="7" xfId="7" applyNumberFormat="1" applyFont="1" applyFill="1" applyBorder="1" applyAlignment="1" applyProtection="1">
      <alignment horizontal="center"/>
      <protection hidden="1"/>
    </xf>
    <xf numFmtId="0" fontId="13" fillId="0" borderId="0" xfId="0" applyFont="1" applyProtection="1">
      <protection locked="0"/>
    </xf>
    <xf numFmtId="0" fontId="11" fillId="0" borderId="0" xfId="6" applyFont="1" applyBorder="1" applyAlignment="1" applyProtection="1">
      <alignment vertical="center"/>
      <protection locked="0"/>
    </xf>
    <xf numFmtId="0" fontId="59" fillId="5" borderId="9" xfId="6" applyFont="1" applyFill="1" applyBorder="1" applyAlignment="1" applyProtection="1">
      <alignment horizontal="center" vertical="center"/>
      <protection locked="0"/>
    </xf>
    <xf numFmtId="0" fontId="59" fillId="11" borderId="9" xfId="6" applyFont="1" applyFill="1" applyBorder="1" applyAlignment="1" applyProtection="1">
      <alignment horizontal="center" vertical="center"/>
      <protection locked="0"/>
    </xf>
    <xf numFmtId="0" fontId="56" fillId="0" borderId="10" xfId="6" applyFont="1" applyFill="1" applyBorder="1" applyAlignment="1" applyProtection="1">
      <alignment vertical="center" shrinkToFit="1"/>
      <protection locked="0"/>
    </xf>
    <xf numFmtId="166" fontId="11" fillId="0" borderId="4" xfId="1" applyFont="1" applyBorder="1" applyAlignment="1" applyProtection="1">
      <alignment horizontal="center" vertical="center" shrinkToFit="1"/>
      <protection locked="0"/>
    </xf>
    <xf numFmtId="0" fontId="11" fillId="0" borderId="4" xfId="1" applyNumberFormat="1" applyFont="1" applyBorder="1" applyAlignment="1" applyProtection="1">
      <alignment horizontal="center" vertical="center" shrinkToFit="1"/>
      <protection locked="0"/>
    </xf>
    <xf numFmtId="166" fontId="11" fillId="0" borderId="4" xfId="1" applyFont="1" applyFill="1" applyBorder="1" applyAlignment="1" applyProtection="1">
      <alignment vertical="center" shrinkToFit="1"/>
      <protection locked="0"/>
    </xf>
    <xf numFmtId="166" fontId="13" fillId="0" borderId="8" xfId="1" applyFont="1" applyBorder="1" applyAlignment="1">
      <alignment horizontal="center"/>
    </xf>
    <xf numFmtId="166" fontId="13" fillId="0" borderId="4" xfId="1" applyFont="1" applyBorder="1" applyAlignment="1">
      <alignment horizontal="center"/>
    </xf>
    <xf numFmtId="4" fontId="11" fillId="0" borderId="14" xfId="1" applyNumberFormat="1" applyFont="1" applyBorder="1" applyAlignment="1" applyProtection="1">
      <alignment vertical="center"/>
      <protection locked="0"/>
    </xf>
    <xf numFmtId="4" fontId="11" fillId="0" borderId="4" xfId="1" applyNumberFormat="1" applyFont="1" applyBorder="1" applyAlignment="1" applyProtection="1">
      <alignment vertical="center"/>
      <protection locked="0"/>
    </xf>
    <xf numFmtId="166" fontId="11" fillId="0" borderId="4" xfId="1" applyFont="1" applyBorder="1" applyAlignment="1" applyProtection="1">
      <alignment vertical="center" shrinkToFit="1"/>
      <protection locked="0"/>
    </xf>
    <xf numFmtId="4" fontId="11" fillId="3" borderId="10" xfId="7" applyNumberFormat="1" applyFont="1" applyBorder="1" applyProtection="1">
      <protection hidden="1"/>
    </xf>
    <xf numFmtId="0" fontId="13" fillId="0" borderId="10" xfId="0" applyFont="1" applyBorder="1" applyAlignment="1" applyProtection="1">
      <alignment horizontal="center"/>
      <protection locked="0"/>
    </xf>
    <xf numFmtId="4" fontId="11" fillId="0" borderId="10" xfId="7" applyNumberFormat="1" applyFont="1" applyFill="1" applyBorder="1" applyAlignment="1" applyProtection="1">
      <alignment horizontal="center"/>
      <protection hidden="1"/>
    </xf>
    <xf numFmtId="0" fontId="13" fillId="0" borderId="0" xfId="0" applyFont="1" applyAlignment="1" applyProtection="1">
      <alignment horizontal="left"/>
      <protection locked="0"/>
    </xf>
    <xf numFmtId="0" fontId="59" fillId="5" borderId="3" xfId="6" applyFont="1" applyFill="1" applyBorder="1" applyAlignment="1" applyProtection="1">
      <alignment horizontal="center" vertical="center"/>
      <protection locked="0"/>
    </xf>
    <xf numFmtId="0" fontId="59" fillId="11" borderId="3" xfId="6" applyFont="1" applyFill="1" applyBorder="1" applyAlignment="1" applyProtection="1">
      <alignment horizontal="center" vertical="center"/>
      <protection locked="0"/>
    </xf>
    <xf numFmtId="166" fontId="13" fillId="0" borderId="4" xfId="1" applyFont="1" applyBorder="1" applyAlignment="1" applyProtection="1">
      <alignment horizontal="center" shrinkToFit="1"/>
      <protection locked="0"/>
    </xf>
    <xf numFmtId="166" fontId="11" fillId="0" borderId="4" xfId="1" applyFont="1" applyFill="1" applyBorder="1" applyAlignment="1" applyProtection="1">
      <alignment horizontal="left" vertical="center" shrinkToFit="1"/>
      <protection locked="0"/>
    </xf>
    <xf numFmtId="166" fontId="11" fillId="0" borderId="4" xfId="1" applyFont="1" applyBorder="1" applyAlignment="1" applyProtection="1">
      <alignment horizontal="left" vertical="center" shrinkToFit="1"/>
      <protection locked="0"/>
    </xf>
    <xf numFmtId="4" fontId="11" fillId="3" borderId="15" xfId="7" applyNumberFormat="1" applyFont="1" applyBorder="1" applyProtection="1">
      <protection hidden="1"/>
    </xf>
    <xf numFmtId="14" fontId="13" fillId="0" borderId="4" xfId="0" applyNumberFormat="1" applyFont="1" applyBorder="1" applyAlignment="1" applyProtection="1">
      <alignment horizontal="center"/>
      <protection locked="0"/>
    </xf>
    <xf numFmtId="4" fontId="11" fillId="0" borderId="4" xfId="7" applyNumberFormat="1" applyFont="1" applyFill="1" applyBorder="1" applyAlignment="1" applyProtection="1">
      <alignment horizontal="center"/>
      <protection hidden="1"/>
    </xf>
    <xf numFmtId="14" fontId="13" fillId="0" borderId="0" xfId="0" applyNumberFormat="1" applyFont="1" applyProtection="1">
      <protection locked="0"/>
    </xf>
    <xf numFmtId="0" fontId="11" fillId="0" borderId="16" xfId="6" applyFont="1" applyBorder="1" applyAlignment="1" applyProtection="1">
      <alignment horizontal="center" vertical="center"/>
      <protection locked="0"/>
    </xf>
    <xf numFmtId="0" fontId="11" fillId="11" borderId="16" xfId="6" quotePrefix="1" applyFont="1" applyFill="1" applyBorder="1" applyAlignment="1" applyProtection="1">
      <alignment horizontal="center" vertical="center"/>
      <protection locked="0"/>
    </xf>
    <xf numFmtId="0" fontId="11" fillId="0" borderId="7" xfId="6" applyFont="1" applyBorder="1" applyAlignment="1" applyProtection="1">
      <alignment vertical="center" shrinkToFit="1"/>
      <protection locked="0"/>
    </xf>
    <xf numFmtId="0" fontId="11" fillId="0" borderId="7" xfId="6" applyFont="1" applyBorder="1" applyAlignment="1" applyProtection="1">
      <alignment horizontal="center" vertical="center" shrinkToFit="1"/>
      <protection locked="0"/>
    </xf>
    <xf numFmtId="166" fontId="11" fillId="0" borderId="7" xfId="1" applyFont="1" applyBorder="1" applyAlignment="1" applyProtection="1">
      <alignment horizontal="center" vertical="center" shrinkToFit="1"/>
      <protection locked="0"/>
    </xf>
    <xf numFmtId="17" fontId="11" fillId="0" borderId="7" xfId="1" quotePrefix="1" applyNumberFormat="1" applyFont="1" applyBorder="1" applyAlignment="1" applyProtection="1">
      <alignment horizontal="center" vertical="center" shrinkToFit="1"/>
      <protection locked="0"/>
    </xf>
    <xf numFmtId="4" fontId="11" fillId="0" borderId="6" xfId="1" applyNumberFormat="1" applyFont="1" applyBorder="1" applyAlignment="1" applyProtection="1">
      <alignment vertical="center"/>
      <protection locked="0"/>
    </xf>
    <xf numFmtId="166" fontId="11" fillId="0" borderId="7" xfId="1" applyFont="1" applyBorder="1" applyAlignment="1" applyProtection="1">
      <alignment vertical="center" shrinkToFit="1"/>
      <protection locked="0"/>
    </xf>
    <xf numFmtId="166" fontId="11" fillId="0" borderId="6" xfId="1" applyFont="1" applyBorder="1" applyAlignment="1" applyProtection="1">
      <alignment vertical="center" shrinkToFit="1"/>
      <protection locked="0"/>
    </xf>
    <xf numFmtId="4" fontId="13" fillId="3" borderId="7" xfId="7" applyNumberFormat="1" applyFont="1" applyBorder="1" applyProtection="1">
      <protection hidden="1"/>
    </xf>
    <xf numFmtId="0" fontId="13" fillId="0" borderId="6" xfId="0" applyFont="1" applyBorder="1" applyAlignment="1" applyProtection="1">
      <alignment horizontal="center"/>
      <protection locked="0"/>
    </xf>
    <xf numFmtId="166" fontId="13" fillId="0" borderId="58" xfId="1" applyFont="1" applyBorder="1" applyAlignment="1">
      <alignment horizontal="center" vertical="center"/>
    </xf>
    <xf numFmtId="4" fontId="11" fillId="0" borderId="6" xfId="7" applyNumberFormat="1" applyFont="1" applyFill="1" applyBorder="1" applyAlignment="1" applyProtection="1">
      <alignment horizontal="center"/>
      <protection hidden="1"/>
    </xf>
    <xf numFmtId="0" fontId="59" fillId="5" borderId="17" xfId="6" applyFont="1" applyFill="1" applyBorder="1" applyAlignment="1" applyProtection="1">
      <alignment horizontal="center" vertical="center"/>
      <protection locked="0"/>
    </xf>
    <xf numFmtId="166" fontId="13" fillId="0" borderId="4" xfId="1" applyFont="1" applyFill="1" applyBorder="1" applyAlignment="1">
      <alignment horizontal="center"/>
    </xf>
    <xf numFmtId="0" fontId="13" fillId="0" borderId="14" xfId="0" applyFont="1" applyBorder="1" applyAlignment="1" applyProtection="1">
      <alignment horizontal="center"/>
      <protection locked="0"/>
    </xf>
    <xf numFmtId="4" fontId="11" fillId="0" borderId="14" xfId="7" applyNumberFormat="1" applyFont="1" applyFill="1" applyBorder="1" applyAlignment="1" applyProtection="1">
      <alignment horizontal="center"/>
      <protection hidden="1"/>
    </xf>
    <xf numFmtId="0" fontId="59" fillId="5" borderId="42" xfId="6" applyFont="1" applyFill="1" applyBorder="1" applyAlignment="1" applyProtection="1">
      <alignment horizontal="center" vertical="center"/>
      <protection locked="0"/>
    </xf>
    <xf numFmtId="166" fontId="11" fillId="0" borderId="4" xfId="1" applyFont="1" applyFill="1" applyBorder="1" applyAlignment="1" applyProtection="1">
      <alignment horizontal="center" vertical="center" shrinkToFit="1"/>
      <protection locked="0"/>
    </xf>
    <xf numFmtId="0" fontId="13" fillId="0" borderId="4" xfId="0" applyFont="1" applyBorder="1" applyAlignment="1" applyProtection="1">
      <alignment horizontal="center"/>
      <protection locked="0"/>
    </xf>
    <xf numFmtId="0" fontId="60" fillId="0" borderId="0" xfId="0" applyFont="1" applyProtection="1">
      <protection locked="0"/>
    </xf>
    <xf numFmtId="0" fontId="11" fillId="0" borderId="16" xfId="6" applyFont="1" applyFill="1" applyBorder="1" applyAlignment="1" applyProtection="1">
      <alignment horizontal="center" vertical="center"/>
      <protection locked="0"/>
    </xf>
    <xf numFmtId="166" fontId="13" fillId="0" borderId="58" xfId="1" applyFont="1" applyFill="1" applyBorder="1" applyAlignment="1">
      <alignment horizontal="center" vertical="center"/>
    </xf>
    <xf numFmtId="0" fontId="8" fillId="19" borderId="60" xfId="12" applyFont="1" applyFill="1" applyBorder="1" applyAlignment="1">
      <alignment horizontal="center" vertical="center"/>
    </xf>
    <xf numFmtId="0" fontId="8" fillId="19" borderId="61" xfId="12" applyFont="1" applyFill="1" applyBorder="1" applyAlignment="1">
      <alignment horizontal="center" vertical="center"/>
    </xf>
    <xf numFmtId="0" fontId="8" fillId="19" borderId="62" xfId="12" applyFont="1" applyFill="1" applyBorder="1" applyAlignment="1">
      <alignment horizontal="center" vertical="center"/>
    </xf>
    <xf numFmtId="0" fontId="8" fillId="19" borderId="23" xfId="12" applyFont="1" applyFill="1" applyBorder="1" applyAlignment="1">
      <alignment horizontal="center" vertical="center"/>
    </xf>
    <xf numFmtId="0" fontId="8" fillId="19" borderId="18" xfId="12" applyFont="1" applyFill="1" applyBorder="1" applyAlignment="1">
      <alignment horizontal="center" vertical="center"/>
    </xf>
    <xf numFmtId="0" fontId="8" fillId="19" borderId="24" xfId="12" applyFont="1" applyFill="1" applyBorder="1" applyAlignment="1">
      <alignment horizontal="center" vertical="center"/>
    </xf>
    <xf numFmtId="0" fontId="13" fillId="5" borderId="5" xfId="10" applyFont="1" applyFill="1" applyBorder="1" applyAlignment="1">
      <alignment horizontal="center" vertical="top" wrapText="1"/>
    </xf>
    <xf numFmtId="0" fontId="13" fillId="5" borderId="4" xfId="10" applyFont="1" applyFill="1" applyBorder="1" applyAlignment="1">
      <alignment horizontal="center" vertical="top" wrapText="1"/>
    </xf>
    <xf numFmtId="0" fontId="13" fillId="5" borderId="21" xfId="10" applyFont="1" applyFill="1" applyBorder="1" applyAlignment="1">
      <alignment horizontal="center" vertical="top" wrapText="1"/>
    </xf>
    <xf numFmtId="0" fontId="8" fillId="19" borderId="58" xfId="12" applyFont="1" applyFill="1" applyBorder="1" applyAlignment="1">
      <alignment horizontal="center" vertical="center"/>
    </xf>
    <xf numFmtId="0" fontId="8" fillId="0" borderId="0" xfId="10" applyFont="1" applyAlignment="1">
      <alignment horizontal="left"/>
    </xf>
    <xf numFmtId="0" fontId="49" fillId="0" borderId="0" xfId="10" applyFont="1" applyAlignment="1">
      <alignment horizontal="left"/>
    </xf>
    <xf numFmtId="0" fontId="22" fillId="0" borderId="41" xfId="10" applyFont="1" applyBorder="1" applyAlignment="1">
      <alignment horizontal="center" vertical="top" wrapText="1"/>
    </xf>
    <xf numFmtId="0" fontId="22" fillId="0" borderId="4" xfId="10" applyFont="1" applyBorder="1" applyAlignment="1">
      <alignment horizontal="center" vertical="top" wrapText="1"/>
    </xf>
    <xf numFmtId="0" fontId="22" fillId="0" borderId="21" xfId="10" applyFont="1" applyBorder="1" applyAlignment="1">
      <alignment horizontal="center" vertical="top" wrapText="1"/>
    </xf>
    <xf numFmtId="0" fontId="22" fillId="5" borderId="5" xfId="10" applyFont="1" applyFill="1" applyBorder="1" applyAlignment="1">
      <alignment horizontal="center" vertical="top"/>
    </xf>
    <xf numFmtId="0" fontId="22" fillId="5" borderId="4" xfId="10" applyFont="1" applyFill="1" applyBorder="1" applyAlignment="1">
      <alignment horizontal="center" vertical="top"/>
    </xf>
    <xf numFmtId="0" fontId="22" fillId="5" borderId="13" xfId="10" applyFont="1" applyFill="1" applyBorder="1" applyAlignment="1">
      <alignment horizontal="center" vertical="top" wrapText="1"/>
    </xf>
    <xf numFmtId="0" fontId="22" fillId="5" borderId="40" xfId="10" applyFont="1" applyFill="1" applyBorder="1" applyAlignment="1">
      <alignment horizontal="center" vertical="top" wrapText="1"/>
    </xf>
    <xf numFmtId="0" fontId="22" fillId="5" borderId="45" xfId="10" applyFont="1" applyFill="1" applyBorder="1" applyAlignment="1">
      <alignment horizontal="center" vertical="top" wrapText="1"/>
    </xf>
    <xf numFmtId="0" fontId="22" fillId="5" borderId="58" xfId="10" applyFont="1" applyFill="1" applyBorder="1" applyAlignment="1">
      <alignment horizontal="center" vertical="top" wrapText="1"/>
    </xf>
    <xf numFmtId="0" fontId="13" fillId="5" borderId="4" xfId="10" applyFont="1" applyFill="1" applyBorder="1" applyAlignment="1">
      <alignment horizontal="center" vertical="top"/>
    </xf>
    <xf numFmtId="0" fontId="13" fillId="5" borderId="21" xfId="10" applyFont="1" applyFill="1" applyBorder="1" applyAlignment="1">
      <alignment horizontal="center" vertical="top"/>
    </xf>
    <xf numFmtId="164" fontId="13" fillId="5" borderId="5" xfId="10" applyNumberFormat="1" applyFont="1" applyFill="1" applyBorder="1" applyAlignment="1">
      <alignment horizontal="center" vertical="top" wrapText="1"/>
    </xf>
    <xf numFmtId="164" fontId="13" fillId="5" borderId="4" xfId="10" applyNumberFormat="1" applyFont="1" applyFill="1" applyBorder="1" applyAlignment="1">
      <alignment horizontal="center" vertical="top"/>
    </xf>
    <xf numFmtId="164" fontId="13" fillId="5" borderId="21" xfId="10" applyNumberFormat="1" applyFont="1" applyFill="1" applyBorder="1" applyAlignment="1">
      <alignment horizontal="center" vertical="top"/>
    </xf>
    <xf numFmtId="4" fontId="19" fillId="10" borderId="6" xfId="7" applyNumberFormat="1" applyFont="1" applyFill="1" applyBorder="1" applyAlignment="1" applyProtection="1">
      <alignment horizontal="center"/>
      <protection hidden="1"/>
    </xf>
  </cellXfs>
  <cellStyles count="14">
    <cellStyle name="40% - Accent3" xfId="7" builtinId="39"/>
    <cellStyle name="40% - Accent5" xfId="8" builtinId="47"/>
    <cellStyle name="Comma" xfId="1" builtinId="3"/>
    <cellStyle name="Comma 2" xfId="11" xr:uid="{35822B5A-C7C2-44B2-A681-0B5492F88E31}"/>
    <cellStyle name="Currency" xfId="2" builtinId="4"/>
    <cellStyle name="Good" xfId="5" builtinId="26"/>
    <cellStyle name="Heading 1" xfId="3" builtinId="16"/>
    <cellStyle name="Heading 4" xfId="4" builtinId="19"/>
    <cellStyle name="Heading 4 2" xfId="13" xr:uid="{AFCB3CEA-02F0-45E4-A1D9-8950E9487163}"/>
    <cellStyle name="Normal" xfId="0" builtinId="0"/>
    <cellStyle name="Normal 2" xfId="12" xr:uid="{F7E5A196-D5F9-4AF9-B8F2-156FA5986BEF}"/>
    <cellStyle name="Percent" xfId="9" builtinId="5"/>
    <cellStyle name="Title 2" xfId="10" xr:uid="{1F8A6357-1365-4D86-8018-08A14816939D}"/>
    <cellStyle name="Total" xfId="6" builtinId="25"/>
  </cellStyles>
  <dxfs count="92">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left"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right style="thin">
          <color indexed="64"/>
        </right>
        <top/>
        <bottom style="medium">
          <color indexed="64"/>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medium">
          <color indexed="64"/>
        </left>
        <right style="thin">
          <color indexed="64"/>
        </right>
        <top/>
        <bottom style="medium">
          <color indexed="64"/>
        </bottom>
      </border>
      <protection locked="0" hidden="0"/>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horizontal="center" vertical="bottom" textRotation="0" indent="0" justifyLastLine="0" shrinkToFit="0" readingOrder="0"/>
      <border diagonalUp="0" diagonalDown="0" outline="0">
        <left style="thin">
          <color indexed="64"/>
        </left>
        <right style="thin">
          <color indexed="64"/>
        </right>
      </border>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8"/>
        <name val="Arial"/>
        <family val="2"/>
        <scheme val="none"/>
      </font>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bottom"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font>
      <numFmt numFmtId="35" formatCode="_-* #,##0.00_-;\-* #,##0.00_-;_-* &quot;-&quot;??_-;_-@_-"/>
      <alignment vertical="bottom" textRotation="0" indent="0" justifyLastLine="0" readingOrder="0"/>
    </dxf>
    <dxf>
      <font>
        <strike val="0"/>
        <outline val="0"/>
        <shadow val="0"/>
        <u val="none"/>
        <vertAlign val="baseline"/>
        <sz val="12"/>
      </font>
      <alignment vertical="bottom" textRotation="0" indent="0" justifyLastLine="0" readingOrder="0"/>
    </dxf>
    <dxf>
      <font>
        <strike val="0"/>
        <outline val="0"/>
        <shadow val="0"/>
        <u val="none"/>
        <vertAlign val="baseline"/>
        <sz val="12"/>
      </font>
      <alignment horizontal="center"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indexed="8"/>
        <name val="Arial"/>
        <family val="2"/>
        <scheme val="none"/>
      </font>
      <alignment horizontal="center" vertical="bottom" textRotation="0" wrapText="0" indent="0" justifyLastLine="0" shrinkToFit="1" readingOrder="0"/>
      <border diagonalUp="0" diagonalDown="0" outline="0">
        <left style="thin">
          <color indexed="64"/>
        </left>
        <right style="thin">
          <color indexed="64"/>
        </right>
        <top/>
        <bottom/>
      </border>
      <protection locked="0" hidden="0"/>
    </dxf>
    <dxf>
      <font>
        <strike val="0"/>
        <outline val="0"/>
        <shadow val="0"/>
        <u val="none"/>
        <vertAlign val="baseline"/>
        <sz val="12"/>
      </font>
      <alignment horizontal="center" vertical="bottom" textRotation="0" indent="0" justifyLastLine="0" readingOrder="0"/>
    </dxf>
    <dxf>
      <font>
        <strike val="0"/>
        <outline val="0"/>
        <shadow val="0"/>
        <u val="none"/>
        <vertAlign val="baseline"/>
        <sz val="12"/>
      </font>
      <alignment vertical="bottom" textRotation="0" indent="0" justifyLastLine="0" readingOrder="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bottom" textRotation="0" wrapText="0" indent="0" justifyLastLine="0" shrinkToFit="0" readingOrder="0"/>
      <border diagonalUp="0" diagonalDown="0" outline="0">
        <left/>
        <right style="thin">
          <color indexed="64"/>
        </right>
        <top/>
        <bottom/>
      </border>
      <protection locked="0" hidden="0"/>
    </dxf>
    <dxf>
      <font>
        <strike val="0"/>
        <outline val="0"/>
        <shadow val="0"/>
        <u val="none"/>
        <vertAlign val="baseline"/>
        <sz val="12"/>
      </font>
      <alignment vertical="bottom" textRotation="0" indent="0" justifyLastLine="0" readingOrder="0"/>
      <border diagonalUp="0" diagonalDown="0" outline="0">
        <left style="medium">
          <color indexed="64"/>
        </left>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outline="0">
        <left style="thin">
          <color rgb="FF000000"/>
        </left>
        <right style="thin">
          <color rgb="FF000000"/>
        </right>
        <top/>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name val="Arial"/>
        <scheme val="none"/>
      </font>
      <alignment textRotation="0" indent="0" justifyLastLine="0" readingOrder="0"/>
      <border diagonalUp="0" diagonalDown="0" outline="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shrinkToFit="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dotted">
          <color indexed="53"/>
        </top>
        <bottom style="dotted">
          <color indexed="53"/>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fill>
        <patternFill patternType="solid">
          <fgColor indexed="64"/>
          <bgColor rgb="FFFFFF00"/>
        </patternFill>
      </fill>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4" formatCode="#,##0.00"/>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numFmt numFmtId="35" formatCode="_-* #,##0.00_-;\-* #,##0.00_-;_-* &quot;-&quot;??_-;_-@_-"/>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alignment horizontal="center" textRotation="0" indent="0" justifyLastLine="0" readingOrder="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numFmt numFmtId="0" formatCode="General"/>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numFmt numFmtId="166" formatCode="_(* #,##0.00_);_(* \(#,##0.00\);_(* &quot;-&quot;??_);_(@_)"/>
      <alignment horizontal="centerContinuous" vertical="bottom"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val="0"/>
        <strike val="0"/>
        <outline val="0"/>
        <shadow val="0"/>
        <u val="none"/>
        <vertAlign val="baseline"/>
        <sz val="12"/>
        <color indexed="8"/>
        <name val="Arial"/>
        <family val="2"/>
        <scheme val="none"/>
      </font>
      <alignment horizontal="center" vertical="center" textRotation="0" wrapText="0" indent="0" justifyLastLine="0" shrinkToFit="1"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b val="0"/>
        <i val="0"/>
        <strike val="0"/>
        <condense val="0"/>
        <extend val="0"/>
        <outline val="0"/>
        <shadow val="0"/>
        <u val="none"/>
        <vertAlign val="baseline"/>
        <sz val="12"/>
        <color indexed="9"/>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i val="0"/>
        <strike val="0"/>
        <condense val="0"/>
        <extend val="0"/>
        <outline val="0"/>
        <shadow val="0"/>
        <u val="none"/>
        <vertAlign val="baseline"/>
        <sz val="12"/>
        <color auto="1"/>
        <name val="Arial"/>
        <family val="2"/>
        <scheme val="none"/>
      </font>
      <alignment horizontal="centerContinuous" vertical="bottom" textRotation="0" wrapText="0" indent="0" justifyLastLine="0" shrinkToFit="0" readingOrder="0"/>
      <border diagonalUp="0" diagonalDown="0" outline="0">
        <left style="thin">
          <color indexed="64"/>
        </left>
        <right style="thin">
          <color indexed="64"/>
        </right>
        <top style="thin">
          <color indexed="64"/>
        </top>
        <bottom style="double">
          <color indexed="64"/>
        </bottom>
      </border>
      <protection locked="0" hidden="0"/>
    </dxf>
    <dxf>
      <font>
        <strike val="0"/>
        <outline val="0"/>
        <shadow val="0"/>
        <u val="none"/>
        <vertAlign val="baseline"/>
        <sz val="12"/>
        <name val="Arial"/>
        <family val="2"/>
        <scheme val="none"/>
      </font>
    </dxf>
    <dxf>
      <border>
        <top style="thin">
          <color indexed="64"/>
        </top>
      </border>
    </dxf>
    <dxf>
      <font>
        <b/>
        <strike val="0"/>
        <outline val="0"/>
        <shadow val="0"/>
        <u val="none"/>
        <vertAlign val="baseline"/>
        <sz val="12"/>
        <color auto="1"/>
        <name val="Arial"/>
        <family val="2"/>
        <scheme val="none"/>
      </font>
      <alignmen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2"/>
        <name val="Arial"/>
        <family val="2"/>
        <scheme val="none"/>
      </font>
      <alignment textRotation="0" indent="0" justifyLastLine="0" readingOrder="0"/>
      <border diagonalUp="0" diagonalDown="0" outline="0"/>
      <protection locked="0" hidden="0"/>
    </dxf>
    <dxf>
      <font>
        <strike val="0"/>
        <outline val="0"/>
        <shadow val="0"/>
        <u val="none"/>
        <vertAlign val="baseline"/>
        <sz val="14"/>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5302250" y="12151784"/>
          <a:ext cx="247478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6" name="Text Box 2">
          <a:extLst>
            <a:ext uri="{FF2B5EF4-FFF2-40B4-BE49-F238E27FC236}">
              <a16:creationId xmlns:a16="http://schemas.microsoft.com/office/drawing/2014/main" id="{D173E124-6C80-48DC-8105-CAA00DA26AE7}"/>
            </a:ext>
          </a:extLst>
        </xdr:cNvPr>
        <xdr:cNvSpPr txBox="1">
          <a:spLocks noChangeArrowheads="1"/>
        </xdr:cNvSpPr>
      </xdr:nvSpPr>
      <xdr:spPr bwMode="auto">
        <a:xfrm>
          <a:off x="984250" y="12404725"/>
          <a:ext cx="246843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7</xdr:col>
      <xdr:colOff>769111</xdr:colOff>
      <xdr:row>50</xdr:row>
      <xdr:rowOff>28682</xdr:rowOff>
    </xdr:from>
    <xdr:to>
      <xdr:col>11</xdr:col>
      <xdr:colOff>179268</xdr:colOff>
      <xdr:row>50</xdr:row>
      <xdr:rowOff>28682</xdr:rowOff>
    </xdr:to>
    <xdr:sp macro="" textlink="">
      <xdr:nvSpPr>
        <xdr:cNvPr id="5" name="Text Box 2">
          <a:extLst>
            <a:ext uri="{FF2B5EF4-FFF2-40B4-BE49-F238E27FC236}">
              <a16:creationId xmlns:a16="http://schemas.microsoft.com/office/drawing/2014/main" id="{0F700A61-B14B-41CA-95B2-ADCC19411B6A}"/>
            </a:ext>
          </a:extLst>
        </xdr:cNvPr>
        <xdr:cNvSpPr txBox="1">
          <a:spLocks noChangeArrowheads="1"/>
        </xdr:cNvSpPr>
      </xdr:nvSpPr>
      <xdr:spPr bwMode="auto">
        <a:xfrm>
          <a:off x="9841674" y="12399276"/>
          <a:ext cx="398215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1511300</xdr:colOff>
      <xdr:row>49</xdr:row>
      <xdr:rowOff>26459</xdr:rowOff>
    </xdr:from>
    <xdr:to>
      <xdr:col>5</xdr:col>
      <xdr:colOff>909507</xdr:colOff>
      <xdr:row>49</xdr:row>
      <xdr:rowOff>26459</xdr:rowOff>
    </xdr:to>
    <xdr:sp macro="" textlink="">
      <xdr:nvSpPr>
        <xdr:cNvPr id="12" name="Text Box 2">
          <a:extLst>
            <a:ext uri="{FF2B5EF4-FFF2-40B4-BE49-F238E27FC236}">
              <a16:creationId xmlns:a16="http://schemas.microsoft.com/office/drawing/2014/main" id="{BB2340A5-D42D-4999-8058-2F16BD56D4A5}"/>
            </a:ext>
          </a:extLst>
        </xdr:cNvPr>
        <xdr:cNvSpPr txBox="1">
          <a:spLocks noChangeArrowheads="1"/>
        </xdr:cNvSpPr>
      </xdr:nvSpPr>
      <xdr:spPr bwMode="auto">
        <a:xfrm>
          <a:off x="5290820" y="12309899"/>
          <a:ext cx="2476687"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(คุณนิมิต จุ้ยอยู่ทอง)</a:t>
          </a: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Sales Assistant Director Acting for Sales Director </a:t>
          </a:r>
        </a:p>
      </xdr:txBody>
    </xdr:sp>
    <xdr:clientData/>
  </xdr:twoCellAnchor>
  <xdr:twoCellAnchor>
    <xdr:from>
      <xdr:col>1</xdr:col>
      <xdr:colOff>514350</xdr:colOff>
      <xdr:row>49</xdr:row>
      <xdr:rowOff>9525</xdr:rowOff>
    </xdr:from>
    <xdr:to>
      <xdr:col>2</xdr:col>
      <xdr:colOff>1560382</xdr:colOff>
      <xdr:row>49</xdr:row>
      <xdr:rowOff>9525</xdr:rowOff>
    </xdr:to>
    <xdr:sp macro="" textlink="">
      <xdr:nvSpPr>
        <xdr:cNvPr id="14" name="Text Box 2">
          <a:extLst>
            <a:ext uri="{FF2B5EF4-FFF2-40B4-BE49-F238E27FC236}">
              <a16:creationId xmlns:a16="http://schemas.microsoft.com/office/drawing/2014/main" id="{EBCDB047-E9E4-4312-8E70-E9CDEAC9778E}"/>
            </a:ext>
          </a:extLst>
        </xdr:cNvPr>
        <xdr:cNvSpPr txBox="1">
          <a:spLocks noChangeArrowheads="1"/>
        </xdr:cNvSpPr>
      </xdr:nvSpPr>
      <xdr:spPr bwMode="auto">
        <a:xfrm>
          <a:off x="986790" y="12292965"/>
          <a:ext cx="2470972" cy="0"/>
        </a:xfrm>
        <a:prstGeom prst="rect">
          <a:avLst/>
        </a:prstGeom>
        <a:noFill/>
        <a:ln>
          <a:noFill/>
        </a:ln>
        <a:effectLst/>
      </xdr:spPr>
      <xdr:txBody>
        <a:bodyPr rot="0" vert="horz" wrap="square" lIns="91440" tIns="45720" rIns="91440" bIns="45720" anchor="t" anchorCtr="0">
          <a:noAutofit/>
        </a:bodyPr>
        <a:lstStyle/>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400" b="1">
              <a:effectLst/>
              <a:latin typeface="Angsana New" panose="02020603050405020304" pitchFamily="18" charset="-34"/>
              <a:ea typeface="Times New Roman" panose="02020603050405020304" pitchFamily="18" charset="0"/>
              <a:cs typeface="Angsana New" panose="02020603050405020304" pitchFamily="18" charset="-34"/>
            </a:rPr>
            <a:t>(คุณธวัช มีแสง)</a:t>
          </a:r>
          <a:endParaRPr lang="en-US" sz="14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400" b="1">
              <a:effectLst/>
              <a:latin typeface="Angsana New" panose="02020603050405020304" pitchFamily="18" charset="-34"/>
              <a:ea typeface="Times New Roman" panose="02020603050405020304" pitchFamily="18" charset="0"/>
              <a:cs typeface="Angsana New" panose="02020603050405020304" pitchFamily="18" charset="-34"/>
            </a:rPr>
            <a:t>Business to Business Sales Manager </a:t>
          </a:r>
        </a:p>
      </xdr:txBody>
    </xdr:sp>
    <xdr:clientData/>
  </xdr:twoCellAnchor>
  <xdr:twoCellAnchor>
    <xdr:from>
      <xdr:col>8</xdr:col>
      <xdr:colOff>281940</xdr:colOff>
      <xdr:row>48</xdr:row>
      <xdr:rowOff>139065</xdr:rowOff>
    </xdr:from>
    <xdr:to>
      <xdr:col>12</xdr:col>
      <xdr:colOff>57380</xdr:colOff>
      <xdr:row>48</xdr:row>
      <xdr:rowOff>139065</xdr:rowOff>
    </xdr:to>
    <xdr:sp macro="" textlink="">
      <xdr:nvSpPr>
        <xdr:cNvPr id="6" name="Text Box 2">
          <a:extLst>
            <a:ext uri="{FF2B5EF4-FFF2-40B4-BE49-F238E27FC236}">
              <a16:creationId xmlns:a16="http://schemas.microsoft.com/office/drawing/2014/main" id="{6CEE5F5A-31C0-40D9-AC03-3472EC636933}"/>
            </a:ext>
          </a:extLst>
        </xdr:cNvPr>
        <xdr:cNvSpPr txBox="1">
          <a:spLocks noChangeArrowheads="1"/>
        </xdr:cNvSpPr>
      </xdr:nvSpPr>
      <xdr:spPr bwMode="auto">
        <a:xfrm>
          <a:off x="10199846" y="12426315"/>
          <a:ext cx="3978347" cy="0"/>
        </a:xfrm>
        <a:prstGeom prst="rect">
          <a:avLst/>
        </a:prstGeom>
        <a:noFill/>
        <a:ln>
          <a:noFill/>
        </a:ln>
        <a:effectLst/>
      </xdr:spPr>
      <xdr:txBody>
        <a:bodyPr rot="0" vert="horz" wrap="square" lIns="91440" tIns="45720" rIns="91440" bIns="45720" anchor="t" anchorCtr="0">
          <a:noAutofit/>
        </a:bodyPr>
        <a:lstStyle/>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ลงชื่อ ............................................................</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r>
            <a:rPr lang="th-TH" sz="1600" b="1">
              <a:effectLst/>
              <a:latin typeface="Angsana New" panose="02020603050405020304" pitchFamily="18" charset="-34"/>
              <a:ea typeface="+mn-ea"/>
              <a:cs typeface="Angsana New" panose="02020603050405020304" pitchFamily="18" charset="-34"/>
            </a:rPr>
            <a:t>คุณวันวิสาข์ ประทุมเมือง</a:t>
          </a:r>
          <a:r>
            <a:rPr lang="th-TH" sz="1600" b="1">
              <a:effectLst/>
              <a:latin typeface="Angsana New" panose="02020603050405020304" pitchFamily="18" charset="-34"/>
              <a:ea typeface="Times New Roman" panose="02020603050405020304" pitchFamily="18" charset="0"/>
              <a:cs typeface="Angsana New" panose="02020603050405020304" pitchFamily="18" charset="-34"/>
            </a:rPr>
            <a:t>)</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a:p>
          <a:pPr algn="ctr"/>
          <a:r>
            <a:rPr lang="en-US" sz="1600" b="1">
              <a:effectLst/>
              <a:latin typeface="Angsana New" panose="02020603050405020304" pitchFamily="18" charset="-34"/>
              <a:ea typeface="Times New Roman" panose="02020603050405020304" pitchFamily="18" charset="0"/>
              <a:cs typeface="Angsana New" panose="02020603050405020304" pitchFamily="18" charset="-34"/>
            </a:rPr>
            <a:t>Deputy Managing Director of Marketing</a:t>
          </a:r>
          <a:endParaRPr lang="en-US" sz="1600">
            <a:effectLst/>
            <a:latin typeface="Angsana New" panose="02020603050405020304" pitchFamily="18" charset="-34"/>
            <a:ea typeface="Times New Roman" panose="02020603050405020304" pitchFamily="18" charset="0"/>
            <a:cs typeface="Angsana New" panose="02020603050405020304" pitchFamily="18" charset="-34"/>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878C68-A372-446C-8256-BD036B6D96E7}" name="Table1351452010" displayName="Table1351452010" ref="A5:U83" totalsRowShown="0" headerRowDxfId="91" dataDxfId="90" totalsRowDxfId="88" tableBorderDxfId="89" totalsRowBorderDxfId="87">
  <autoFilter ref="A5:U83" xr:uid="{3C878C68-A372-446C-8256-BD036B6D96E7}"/>
  <tableColumns count="21">
    <tableColumn id="1" xr3:uid="{7A68EB0F-4EB7-4EA0-B847-CDCEDE1995D9}" name="ลำดับ" dataDxfId="86" totalsRowDxfId="85"/>
    <tableColumn id="7" xr3:uid="{8F6F8C50-9D55-461F-83AF-B2E29A90BB45}" name="รหัสลูกค้า" dataDxfId="84" totalsRowDxfId="83" dataCellStyle="Total"/>
    <tableColumn id="2" xr3:uid="{E91B7877-DC71-4CB9-BA7F-36CA618C37EA}" name="ชื่อเจ้าของโครงการ" dataDxfId="82" totalsRowDxfId="81"/>
    <tableColumn id="10" xr3:uid="{19271DD2-0A59-4759-AE5D-1AB63890B014}" name="Sales" dataDxfId="80" dataCellStyle="Total"/>
    <tableColumn id="5" xr3:uid="{A5848258-9033-4D9F-8296-8ECDB5D9D258}" name="บริการประเภท" dataDxfId="79" totalsRowDxfId="78" dataCellStyle="Total"/>
    <tableColumn id="25" xr3:uid="{448C2BE4-700B-472E-8A90-659E7D16D1C0}" name="ค่าบริการรายเดือนตาม Package" dataDxfId="77" totalsRowDxfId="76" dataCellStyle="Comma"/>
    <tableColumn id="21" xr3:uid="{F6EB7FD7-22B4-468E-93A2-3C3264EA758C}" name="เดือนที่เริ่มเก็บ_x000a_ค่าบริการ" dataDxfId="75" totalsRowDxfId="74" dataCellStyle="Comma"/>
    <tableColumn id="18" xr3:uid="{C760CCF5-1CE8-4D05-BFDF-919B5CF629EE}" name="รายการเบิก_x000a_คอมขายเพิ่มเติม_x000a_(เป้าตามกำหนด)_x000a_100-200%" dataDxfId="73" totalsRowDxfId="72" dataCellStyle="Comma"/>
    <tableColumn id="9" xr3:uid="{E8C32789-49FE-47D8-9CC6-E6DC2865932C}" name="รายการเบิก_x000a_คอมขาย" dataDxfId="71" totalsRowDxfId="70" dataCellStyle="Comma"/>
    <tableColumn id="22" xr3:uid="{EE653E92-1BD1-40DB-9031-773B3881CD5E}" name="ค่าขายอุปกรณ์" dataDxfId="69" totalsRowDxfId="68" dataCellStyle="Comma"/>
    <tableColumn id="8" xr3:uid="{3A93194E-260A-40B9-9FBF-008409553371}" name="ต้นทุนค่าขายอุปกรณ์" dataDxfId="67" totalsRowDxfId="66"/>
    <tableColumn id="6" xr3:uid="{43A73351-F329-4C6C-8D46-8406F3275AF6}" name="คอมฯอุปกรณ์_x000a_ 5%" dataDxfId="65" totalsRowDxfId="64"/>
    <tableColumn id="26" xr3:uid="{758CBD6F-DD47-4531-8868-34976B0F62D4}" name="คอมฯ อุปกรณ์_x000a_25%" dataDxfId="63" totalsRowDxfId="62" dataCellStyle="Comma"/>
    <tableColumn id="16" xr3:uid="{78ACD765-640C-4D43-AC13-54384C4A941E}" name="Total_x000a_คอมฯ อุปกรณ์" dataDxfId="61" totalsRowDxfId="60" dataCellStyle="Comma"/>
    <tableColumn id="11" xr3:uid="{8011303A-D1A5-446B-B527-C3286D436110}" name="ค่าติดตั้ง/ค่าเชื่อมสัญญาณ" dataDxfId="59" totalsRowDxfId="58"/>
    <tableColumn id="12" xr3:uid="{9378E1BA-8956-40DD-8B02-7A6FFB094C52}" name="ต้นทุนค่าติดตั้ง/ค่าเชื่อมสัญญาณ" dataDxfId="57" totalsRowDxfId="56"/>
    <tableColumn id="14" xr3:uid="{714892B4-1AAA-47F9-97C0-DB9B6A097513}" name="Total _x000a_คอมฯค่าติดตั้ง/ค่าเชื่อมสัญญาณ" dataDxfId="55" totalsRowDxfId="54"/>
    <tableColumn id="13" xr3:uid="{01E93865-3399-4061-A66D-18E027C46EBE}" name="รวมค่าคอมฯ" dataDxfId="53" totalsRowDxfId="52" dataCellStyle="40% - Accent3"/>
    <tableColumn id="3" xr3:uid="{E3C14B63-3A8F-4A86-98D8-22F73FF5717A}" name="เลขที่ใบกำกับ/ใบเสร็จรับเงิน" dataDxfId="51" totalsRowDxfId="50"/>
    <tableColumn id="29" xr3:uid="{19195CF2-9F31-4094-B7B0-522E55CE71CA}" name="เลขที่นำส่งเงิน_x000a_" dataDxfId="49" totalsRowDxfId="48"/>
    <tableColumn id="4" xr3:uid="{55D2584C-42D9-4C3B-B911-8FF4B7984098}" name="เขตการขาย" dataDxfId="47" totalsRowDxfId="46"/>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9130E4C-DC9D-4647-817A-46CABDF232F9}" name="Table13514520105" displayName="Table13514520105" ref="A5:U27" totalsRowCount="1" headerRowDxfId="45" dataDxfId="44" totalsRowDxfId="42" tableBorderDxfId="43">
  <tableColumns count="21">
    <tableColumn id="1" xr3:uid="{DF3FD6E6-D745-41F2-ADF9-CD13EAF9355A}" name="ลำดับ" dataDxfId="41" totalsRowDxfId="20"/>
    <tableColumn id="12" xr3:uid="{F4B5205B-6640-4698-B033-46648AA463E3}" name="รหัสลูกค้า" dataDxfId="40" totalsRowDxfId="19" dataCellStyle="Total"/>
    <tableColumn id="2" xr3:uid="{EFD4A409-0B37-48A4-A6D1-0EDAEA08B630}" name="ชื่อเจ้าของโครงการ" totalsRowLabel="Total" dataDxfId="39" totalsRowDxfId="18"/>
    <tableColumn id="10" xr3:uid="{0F59EE97-1C15-48E2-A068-6300779DD479}" name="Sales" dataDxfId="38" totalsRowDxfId="17"/>
    <tableColumn id="5" xr3:uid="{C7CF4C1E-6C22-4A12-BC86-223316804350}" name="บริการประเภท" dataDxfId="37" totalsRowDxfId="16" dataCellStyle="Total"/>
    <tableColumn id="25" xr3:uid="{8F2297A0-32B0-43D2-B9BD-8EC1009B1977}" name="ค่าบริการรายเดือนตาม Package" totalsRowFunction="sum" dataDxfId="36" totalsRowDxfId="15" dataCellStyle="Comma"/>
    <tableColumn id="21" xr3:uid="{75C8E32E-3F65-4F42-ACED-BFC8B27ADC32}" name="เดือนที่เริ่มเก็บ_x000a_ค่าบริการ" dataDxfId="35" totalsRowDxfId="14" dataCellStyle="Comma"/>
    <tableColumn id="8" xr3:uid="{87582A4B-C6E1-459B-9800-05571557ACEC}" name="รายการเบิก_x000a_คอมขายเพิ่มเติม_x000a_(เป้าตามกำหนด)_x000a_100-200%" totalsRowFunction="sum" dataDxfId="34" totalsRowDxfId="13" dataCellStyle="Comma"/>
    <tableColumn id="9" xr3:uid="{80B11174-88F7-481E-8588-DCC205A7F65B}" name="รายการเบิก_x000a_คอมขาย" totalsRowFunction="sum" dataDxfId="33" totalsRowDxfId="12" dataCellStyle="Comma"/>
    <tableColumn id="22" xr3:uid="{7E1E6494-3D75-42D9-9462-3378DBD97459}" name="ค่าขายอุปกรณ์" totalsRowFunction="sum" dataDxfId="32" totalsRowDxfId="11" dataCellStyle="Comma"/>
    <tableColumn id="4" xr3:uid="{6F575235-48BB-483E-BFE9-88158E351789}" name="ต้นทุนค่าขายอุปกรณ์" totalsRowFunction="sum" dataDxfId="31" totalsRowDxfId="10"/>
    <tableColumn id="6" xr3:uid="{7DF313D9-AB2D-4BE0-82F9-C19A4E538983}" name="คอมฯอุปกรณ์_x000a_ 5%" totalsRowFunction="sum" dataDxfId="30" totalsRowDxfId="9"/>
    <tableColumn id="26" xr3:uid="{B2B3E80A-ECD8-4B32-8E0F-D6A42BE9B960}" name="คอมฯ อุปกรณ์_x000a_25%" totalsRowFunction="sum" dataDxfId="29" totalsRowDxfId="8" dataCellStyle="Comma"/>
    <tableColumn id="13" xr3:uid="{580055DC-2FBC-4D00-BA82-8376F27591FF}" name="Total_x000a_คอมฯ อุปกรณ์" dataDxfId="28" totalsRowDxfId="7" dataCellStyle="Comma"/>
    <tableColumn id="15" xr3:uid="{52CA07EB-D357-46DC-8FE4-B6971D41F453}" name="ค่าติดตั้ง/ค่าเชื่อมสัญญาณ" dataDxfId="27" totalsRowDxfId="6" dataCellStyle="Comma"/>
    <tableColumn id="17" xr3:uid="{4EC6B6AD-0201-4110-8789-0A3FD486D800}" name="ต้นทุนค่าติดตั้ง/ค่าเชื่อมสัญญาณ" dataDxfId="26" totalsRowDxfId="5" dataCellStyle="Comma"/>
    <tableColumn id="16" xr3:uid="{95E16324-276E-48DC-8203-FB2D58BA6719}" name="Total _x000a_คอมฯค่าติดตั้ง/ค่าเชื่อมสัญญาณ" totalsRowFunction="sum" dataDxfId="25" totalsRowDxfId="4" dataCellStyle="Comma"/>
    <tableColumn id="3" xr3:uid="{02A9AB69-FFEB-4867-B132-52FAADBD4D7A}" name="รวมค่าคอมฯ" totalsRowFunction="sum" dataDxfId="24" totalsRowDxfId="3"/>
    <tableColumn id="11" xr3:uid="{323E8EBB-672E-49FF-886B-83397B13954F}" name="เลขที่ใบกำกับ/ใบเสร็จรับเงิน" totalsRowFunction="sum" dataDxfId="23" totalsRowDxfId="2"/>
    <tableColumn id="7" xr3:uid="{BCF445C2-E016-4A4B-AED8-A6BAA3F6BE25}" name="เลขที่นำส่งเงิน_x000a_" totalsRowFunction="sum" dataDxfId="22" totalsRowDxfId="1"/>
    <tableColumn id="14" xr3:uid="{0FC5A296-C82E-487E-BCC6-7040C9EE9F00}" name="เขตการขาย" dataDxfId="21" totalsRow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FA57-723D-4B5E-A41E-9DB34E106A85}">
  <dimension ref="B1:C20"/>
  <sheetViews>
    <sheetView workbookViewId="0">
      <selection activeCell="C10" sqref="C10"/>
    </sheetView>
  </sheetViews>
  <sheetFormatPr defaultRowHeight="13.2"/>
  <cols>
    <col min="2" max="2" width="26.44140625" bestFit="1" customWidth="1"/>
    <col min="3" max="3" width="29.21875" bestFit="1" customWidth="1"/>
  </cols>
  <sheetData>
    <row r="1" spans="2:3" ht="27" thickBot="1">
      <c r="B1" s="151" t="s">
        <v>64</v>
      </c>
      <c r="C1" s="151" t="s">
        <v>49</v>
      </c>
    </row>
    <row r="2" spans="2:3" ht="13.8">
      <c r="B2" s="153" t="s">
        <v>21</v>
      </c>
      <c r="C2" s="152" t="s">
        <v>110</v>
      </c>
    </row>
    <row r="3" spans="2:3" ht="13.8">
      <c r="B3" s="153" t="s">
        <v>86</v>
      </c>
      <c r="C3" s="152" t="s">
        <v>46</v>
      </c>
    </row>
    <row r="4" spans="2:3" ht="13.8">
      <c r="B4" s="153" t="s">
        <v>87</v>
      </c>
      <c r="C4" s="152" t="s">
        <v>70</v>
      </c>
    </row>
    <row r="5" spans="2:3" ht="13.8">
      <c r="B5" s="153" t="s">
        <v>88</v>
      </c>
      <c r="C5" s="152" t="s">
        <v>50</v>
      </c>
    </row>
    <row r="6" spans="2:3" ht="13.8">
      <c r="B6" s="153" t="s">
        <v>68</v>
      </c>
      <c r="C6" s="152" t="s">
        <v>51</v>
      </c>
    </row>
    <row r="7" spans="2:3" ht="13.8">
      <c r="B7" s="153" t="s">
        <v>80</v>
      </c>
      <c r="C7" s="152" t="s">
        <v>52</v>
      </c>
    </row>
    <row r="8" spans="2:3" ht="13.8">
      <c r="B8" s="153" t="s">
        <v>82</v>
      </c>
      <c r="C8" s="152" t="s">
        <v>53</v>
      </c>
    </row>
    <row r="9" spans="2:3" ht="13.8">
      <c r="B9" s="153" t="s">
        <v>83</v>
      </c>
      <c r="C9" s="152" t="s">
        <v>54</v>
      </c>
    </row>
    <row r="10" spans="2:3" ht="13.8">
      <c r="B10" s="153" t="s">
        <v>84</v>
      </c>
      <c r="C10" s="152" t="s">
        <v>55</v>
      </c>
    </row>
    <row r="11" spans="2:3" ht="13.8">
      <c r="B11" s="153" t="s">
        <v>85</v>
      </c>
      <c r="C11" s="152" t="s">
        <v>47</v>
      </c>
    </row>
    <row r="12" spans="2:3" ht="13.8">
      <c r="B12" s="153" t="s">
        <v>81</v>
      </c>
      <c r="C12" s="152" t="s">
        <v>56</v>
      </c>
    </row>
    <row r="13" spans="2:3" ht="13.8">
      <c r="B13" s="153" t="s">
        <v>103</v>
      </c>
      <c r="C13" s="152" t="s">
        <v>57</v>
      </c>
    </row>
    <row r="14" spans="2:3" ht="13.8">
      <c r="B14" t="s">
        <v>79</v>
      </c>
      <c r="C14" s="152" t="s">
        <v>58</v>
      </c>
    </row>
    <row r="15" spans="2:3" ht="13.8">
      <c r="B15" s="153" t="s">
        <v>78</v>
      </c>
      <c r="C15" s="152" t="s">
        <v>59</v>
      </c>
    </row>
    <row r="16" spans="2:3" ht="13.8">
      <c r="B16" t="s">
        <v>69</v>
      </c>
      <c r="C16" s="152" t="s">
        <v>60</v>
      </c>
    </row>
    <row r="17" spans="2:3" ht="13.8">
      <c r="B17" t="s">
        <v>36</v>
      </c>
      <c r="C17" s="152" t="s">
        <v>61</v>
      </c>
    </row>
    <row r="18" spans="2:3" ht="13.8">
      <c r="B18" t="s">
        <v>65</v>
      </c>
      <c r="C18" s="152" t="s">
        <v>48</v>
      </c>
    </row>
    <row r="19" spans="2:3" ht="13.8">
      <c r="B19" t="s">
        <v>18</v>
      </c>
      <c r="C19" s="152" t="s">
        <v>62</v>
      </c>
    </row>
    <row r="20" spans="2:3" ht="13.8">
      <c r="C20" s="152" t="s">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95A4-DE15-4FC2-90A7-452F4A3E48B0}">
  <sheetPr codeName="Sheet2">
    <tabColor indexed="25"/>
    <pageSetUpPr fitToPage="1"/>
  </sheetPr>
  <dimension ref="A1:W88"/>
  <sheetViews>
    <sheetView zoomScale="91" zoomScaleNormal="91" workbookViewId="0">
      <pane xSplit="7" ySplit="5" topLeftCell="H6" activePane="bottomRight" state="frozen"/>
      <selection pane="topRight" activeCell="F1" sqref="F1"/>
      <selection pane="bottomLeft" activeCell="A6" sqref="A6"/>
      <selection pane="bottomRight" activeCell="D14" sqref="D14"/>
    </sheetView>
  </sheetViews>
  <sheetFormatPr defaultColWidth="0" defaultRowHeight="0" customHeight="1" zeroHeight="1"/>
  <cols>
    <col min="1" max="1" width="9.77734375" style="205" customWidth="1"/>
    <col min="2" max="2" width="19.33203125" style="205" bestFit="1" customWidth="1"/>
    <col min="3" max="3" width="31.44140625" style="205" customWidth="1"/>
    <col min="4" max="4" width="25.44140625" style="224" bestFit="1" customWidth="1"/>
    <col min="5" max="5" width="25" style="224" bestFit="1" customWidth="1"/>
    <col min="6" max="6" width="16.77734375" style="225" customWidth="1"/>
    <col min="7" max="7" width="19.6640625" style="214" customWidth="1"/>
    <col min="8" max="8" width="21.21875" style="226" customWidth="1"/>
    <col min="9" max="9" width="19.33203125" style="226" customWidth="1"/>
    <col min="10" max="11" width="19.109375" style="225" customWidth="1"/>
    <col min="12" max="13" width="17.33203125" style="213" customWidth="1"/>
    <col min="14" max="17" width="17.77734375" style="226" customWidth="1"/>
    <col min="18" max="18" width="20.109375" style="213" customWidth="1"/>
    <col min="19" max="19" width="22.21875" style="213" bestFit="1" customWidth="1"/>
    <col min="20" max="20" width="26" style="213" bestFit="1" customWidth="1"/>
    <col min="21" max="21" width="17" style="215" customWidth="1"/>
    <col min="22" max="22" width="0" style="230" hidden="1"/>
    <col min="23" max="23" width="2.77734375" style="213" customWidth="1"/>
    <col min="24" max="24" width="15.5546875" style="205" customWidth="1"/>
    <col min="25" max="25" width="0" style="205" hidden="1"/>
    <col min="26" max="26" width="16.6640625" style="205" customWidth="1"/>
    <col min="27" max="27" width="17.44140625" style="205" customWidth="1"/>
    <col min="28" max="29" width="0" style="205" hidden="1"/>
    <col min="30" max="32" width="15.33203125" style="205" customWidth="1"/>
    <col min="33" max="33" width="17" style="205" customWidth="1"/>
    <col min="34" max="34" width="0" style="205" hidden="1"/>
    <col min="35" max="36" width="15.5546875" style="205" customWidth="1"/>
    <col min="37" max="37" width="13.6640625" style="205" customWidth="1"/>
    <col min="38" max="38" width="9" style="205" customWidth="1"/>
    <col min="39" max="39" width="49.88671875" style="205" customWidth="1"/>
    <col min="40" max="40" width="0" style="205" hidden="1"/>
    <col min="41" max="42" width="15.88671875" style="205" customWidth="1"/>
    <col min="43" max="43" width="14.5546875" style="205" customWidth="1"/>
    <col min="44" max="44" width="16.33203125" style="205" customWidth="1"/>
    <col min="45" max="45" width="18.109375" style="205" customWidth="1"/>
    <col min="46" max="46" width="14.109375" style="205" customWidth="1"/>
    <col min="47" max="273" width="0" style="205" hidden="1"/>
    <col min="274" max="274" width="7.5546875" style="205" customWidth="1"/>
    <col min="275" max="275" width="36.77734375" style="205" customWidth="1"/>
    <col min="276" max="277" width="0" style="205" hidden="1"/>
    <col min="278" max="278" width="16.6640625" style="205" customWidth="1"/>
    <col min="279" max="279" width="17.33203125" style="205" customWidth="1"/>
    <col min="280" max="280" width="15.5546875" style="205" customWidth="1"/>
    <col min="281" max="281" width="0" style="205" hidden="1"/>
    <col min="282" max="282" width="16.6640625" style="205" customWidth="1"/>
    <col min="283" max="283" width="17.44140625" style="205" customWidth="1"/>
    <col min="284" max="285" width="0" style="205" hidden="1"/>
    <col min="286" max="288" width="15.33203125" style="205" customWidth="1"/>
    <col min="289" max="289" width="17" style="205" customWidth="1"/>
    <col min="290" max="290" width="0" style="205" hidden="1"/>
    <col min="291" max="292" width="15.5546875" style="205" customWidth="1"/>
    <col min="293" max="293" width="13.6640625" style="205" customWidth="1"/>
    <col min="294" max="294" width="9" style="205" customWidth="1"/>
    <col min="295" max="295" width="49.88671875" style="205" customWidth="1"/>
    <col min="296" max="296" width="0" style="205" hidden="1"/>
    <col min="297" max="298" width="15.88671875" style="205" customWidth="1"/>
    <col min="299" max="299" width="14.5546875" style="205" customWidth="1"/>
    <col min="300" max="300" width="16.33203125" style="205" customWidth="1"/>
    <col min="301" max="301" width="18.109375" style="205" customWidth="1"/>
    <col min="302" max="302" width="14.109375" style="205" customWidth="1"/>
    <col min="303" max="529" width="0" style="205" hidden="1"/>
    <col min="530" max="530" width="7.5546875" style="205" customWidth="1"/>
    <col min="531" max="531" width="36.77734375" style="205" customWidth="1"/>
    <col min="532" max="533" width="0" style="205" hidden="1"/>
    <col min="534" max="534" width="16.6640625" style="205" customWidth="1"/>
    <col min="535" max="535" width="17.33203125" style="205" customWidth="1"/>
    <col min="536" max="536" width="15.5546875" style="205" customWidth="1"/>
    <col min="537" max="537" width="0" style="205" hidden="1"/>
    <col min="538" max="538" width="16.6640625" style="205" customWidth="1"/>
    <col min="539" max="539" width="17.44140625" style="205" customWidth="1"/>
    <col min="540" max="541" width="0" style="205" hidden="1"/>
    <col min="542" max="544" width="15.33203125" style="205" customWidth="1"/>
    <col min="545" max="545" width="17" style="205" customWidth="1"/>
    <col min="546" max="546" width="0" style="205" hidden="1"/>
    <col min="547" max="548" width="15.5546875" style="205" customWidth="1"/>
    <col min="549" max="549" width="13.6640625" style="205" customWidth="1"/>
    <col min="550" max="550" width="9" style="205" customWidth="1"/>
    <col min="551" max="551" width="49.88671875" style="205" customWidth="1"/>
    <col min="552" max="552" width="0" style="205" hidden="1"/>
    <col min="553" max="554" width="15.88671875" style="205" customWidth="1"/>
    <col min="555" max="555" width="14.5546875" style="205" customWidth="1"/>
    <col min="556" max="556" width="16.33203125" style="205" customWidth="1"/>
    <col min="557" max="557" width="18.109375" style="205" customWidth="1"/>
    <col min="558" max="558" width="14.109375" style="205" customWidth="1"/>
    <col min="559" max="785" width="0" style="205" hidden="1"/>
    <col min="786" max="786" width="7.5546875" style="205" customWidth="1"/>
    <col min="787" max="787" width="36.77734375" style="205" customWidth="1"/>
    <col min="788" max="789" width="0" style="205" hidden="1"/>
    <col min="790" max="790" width="16.6640625" style="205" customWidth="1"/>
    <col min="791" max="791" width="17.33203125" style="205" customWidth="1"/>
    <col min="792" max="792" width="15.5546875" style="205" customWidth="1"/>
    <col min="793" max="793" width="0" style="205" hidden="1"/>
    <col min="794" max="794" width="16.6640625" style="205" customWidth="1"/>
    <col min="795" max="795" width="17.44140625" style="205" customWidth="1"/>
    <col min="796" max="797" width="0" style="205" hidden="1"/>
    <col min="798" max="800" width="15.33203125" style="205" customWidth="1"/>
    <col min="801" max="801" width="17" style="205" customWidth="1"/>
    <col min="802" max="802" width="0" style="205" hidden="1"/>
    <col min="803" max="804" width="15.5546875" style="205" customWidth="1"/>
    <col min="805" max="805" width="13.6640625" style="205" customWidth="1"/>
    <col min="806" max="806" width="9" style="205" customWidth="1"/>
    <col min="807" max="807" width="49.88671875" style="205" customWidth="1"/>
    <col min="808" max="808" width="0" style="205" hidden="1"/>
    <col min="809" max="810" width="15.88671875" style="205" customWidth="1"/>
    <col min="811" max="811" width="14.5546875" style="205" customWidth="1"/>
    <col min="812" max="812" width="16.33203125" style="205" customWidth="1"/>
    <col min="813" max="813" width="18.109375" style="205" customWidth="1"/>
    <col min="814" max="814" width="14.109375" style="205" customWidth="1"/>
    <col min="815" max="1041" width="0" style="205" hidden="1"/>
    <col min="1042" max="1042" width="7.5546875" style="205" customWidth="1"/>
    <col min="1043" max="1043" width="36.77734375" style="205" customWidth="1"/>
    <col min="1044" max="1045" width="0" style="205" hidden="1"/>
    <col min="1046" max="1046" width="16.6640625" style="205" customWidth="1"/>
    <col min="1047" max="1047" width="17.33203125" style="205" customWidth="1"/>
    <col min="1048" max="1048" width="15.5546875" style="205" customWidth="1"/>
    <col min="1049" max="1049" width="0" style="205" hidden="1"/>
    <col min="1050" max="1050" width="16.6640625" style="205" customWidth="1"/>
    <col min="1051" max="1051" width="17.44140625" style="205" customWidth="1"/>
    <col min="1052" max="1053" width="0" style="205" hidden="1"/>
    <col min="1054" max="1056" width="15.33203125" style="205" customWidth="1"/>
    <col min="1057" max="1057" width="17" style="205" customWidth="1"/>
    <col min="1058" max="1058" width="0" style="205" hidden="1"/>
    <col min="1059" max="1060" width="15.5546875" style="205" customWidth="1"/>
    <col min="1061" max="1061" width="13.6640625" style="205" customWidth="1"/>
    <col min="1062" max="1062" width="9" style="205" customWidth="1"/>
    <col min="1063" max="1063" width="49.88671875" style="205" customWidth="1"/>
    <col min="1064" max="1064" width="0" style="205" hidden="1"/>
    <col min="1065" max="1066" width="15.88671875" style="205" customWidth="1"/>
    <col min="1067" max="1067" width="14.5546875" style="205" customWidth="1"/>
    <col min="1068" max="1068" width="16.33203125" style="205" customWidth="1"/>
    <col min="1069" max="1069" width="18.109375" style="205" customWidth="1"/>
    <col min="1070" max="1070" width="14.109375" style="205" customWidth="1"/>
    <col min="1071" max="1297" width="0" style="205" hidden="1"/>
    <col min="1298" max="1298" width="7.5546875" style="205" customWidth="1"/>
    <col min="1299" max="1299" width="36.77734375" style="205" customWidth="1"/>
    <col min="1300" max="1301" width="0" style="205" hidden="1"/>
    <col min="1302" max="1302" width="16.6640625" style="205" customWidth="1"/>
    <col min="1303" max="1303" width="17.33203125" style="205" customWidth="1"/>
    <col min="1304" max="1304" width="15.5546875" style="205" customWidth="1"/>
    <col min="1305" max="1305" width="0" style="205" hidden="1"/>
    <col min="1306" max="1306" width="16.6640625" style="205" customWidth="1"/>
    <col min="1307" max="1307" width="17.44140625" style="205" customWidth="1"/>
    <col min="1308" max="1309" width="0" style="205" hidden="1"/>
    <col min="1310" max="1312" width="15.33203125" style="205" customWidth="1"/>
    <col min="1313" max="1313" width="17" style="205" customWidth="1"/>
    <col min="1314" max="1314" width="0" style="205" hidden="1"/>
    <col min="1315" max="1316" width="15.5546875" style="205" customWidth="1"/>
    <col min="1317" max="1317" width="13.6640625" style="205" customWidth="1"/>
    <col min="1318" max="1318" width="9" style="205" customWidth="1"/>
    <col min="1319" max="1319" width="49.88671875" style="205" customWidth="1"/>
    <col min="1320" max="1320" width="0" style="205" hidden="1"/>
    <col min="1321" max="1322" width="15.88671875" style="205" customWidth="1"/>
    <col min="1323" max="1323" width="14.5546875" style="205" customWidth="1"/>
    <col min="1324" max="1324" width="16.33203125" style="205" customWidth="1"/>
    <col min="1325" max="1325" width="18.109375" style="205" customWidth="1"/>
    <col min="1326" max="1326" width="14.109375" style="205" customWidth="1"/>
    <col min="1327" max="1553" width="0" style="205" hidden="1"/>
    <col min="1554" max="1554" width="7.5546875" style="205" customWidth="1"/>
    <col min="1555" max="1555" width="36.77734375" style="205" customWidth="1"/>
    <col min="1556" max="1557" width="0" style="205" hidden="1"/>
    <col min="1558" max="1558" width="16.6640625" style="205" customWidth="1"/>
    <col min="1559" max="1559" width="17.33203125" style="205" customWidth="1"/>
    <col min="1560" max="1560" width="15.5546875" style="205" customWidth="1"/>
    <col min="1561" max="1561" width="0" style="205" hidden="1"/>
    <col min="1562" max="1562" width="16.6640625" style="205" customWidth="1"/>
    <col min="1563" max="1563" width="17.44140625" style="205" customWidth="1"/>
    <col min="1564" max="1565" width="0" style="205" hidden="1"/>
    <col min="1566" max="1568" width="15.33203125" style="205" customWidth="1"/>
    <col min="1569" max="1569" width="17" style="205" customWidth="1"/>
    <col min="1570" max="1570" width="0" style="205" hidden="1"/>
    <col min="1571" max="1572" width="15.5546875" style="205" customWidth="1"/>
    <col min="1573" max="1573" width="13.6640625" style="205" customWidth="1"/>
    <col min="1574" max="1574" width="9" style="205" customWidth="1"/>
    <col min="1575" max="1575" width="49.88671875" style="205" customWidth="1"/>
    <col min="1576" max="1576" width="0" style="205" hidden="1"/>
    <col min="1577" max="1578" width="15.88671875" style="205" customWidth="1"/>
    <col min="1579" max="1579" width="14.5546875" style="205" customWidth="1"/>
    <col min="1580" max="1580" width="16.33203125" style="205" customWidth="1"/>
    <col min="1581" max="1581" width="18.109375" style="205" customWidth="1"/>
    <col min="1582" max="1582" width="14.109375" style="205" customWidth="1"/>
    <col min="1583" max="1809" width="0" style="205" hidden="1"/>
    <col min="1810" max="1810" width="7.5546875" style="205" customWidth="1"/>
    <col min="1811" max="1811" width="36.77734375" style="205" customWidth="1"/>
    <col min="1812" max="1813" width="0" style="205" hidden="1"/>
    <col min="1814" max="1814" width="16.6640625" style="205" customWidth="1"/>
    <col min="1815" max="1815" width="17.33203125" style="205" customWidth="1"/>
    <col min="1816" max="1816" width="15.5546875" style="205" customWidth="1"/>
    <col min="1817" max="1817" width="0" style="205" hidden="1"/>
    <col min="1818" max="1818" width="16.6640625" style="205" customWidth="1"/>
    <col min="1819" max="1819" width="17.44140625" style="205" customWidth="1"/>
    <col min="1820" max="1821" width="0" style="205" hidden="1"/>
    <col min="1822" max="1824" width="15.33203125" style="205" customWidth="1"/>
    <col min="1825" max="1825" width="17" style="205" customWidth="1"/>
    <col min="1826" max="1826" width="0" style="205" hidden="1"/>
    <col min="1827" max="1828" width="15.5546875" style="205" customWidth="1"/>
    <col min="1829" max="1829" width="13.6640625" style="205" customWidth="1"/>
    <col min="1830" max="1830" width="9" style="205" customWidth="1"/>
    <col min="1831" max="1831" width="49.88671875" style="205" customWidth="1"/>
    <col min="1832" max="1832" width="0" style="205" hidden="1"/>
    <col min="1833" max="1834" width="15.88671875" style="205" customWidth="1"/>
    <col min="1835" max="1835" width="14.5546875" style="205" customWidth="1"/>
    <col min="1836" max="1836" width="16.33203125" style="205" customWidth="1"/>
    <col min="1837" max="1837" width="18.109375" style="205" customWidth="1"/>
    <col min="1838" max="1838" width="14.109375" style="205" customWidth="1"/>
    <col min="1839" max="2065" width="0" style="205" hidden="1"/>
    <col min="2066" max="2066" width="7.5546875" style="205" customWidth="1"/>
    <col min="2067" max="2067" width="36.77734375" style="205" customWidth="1"/>
    <col min="2068" max="2069" width="0" style="205" hidden="1"/>
    <col min="2070" max="2070" width="16.6640625" style="205" customWidth="1"/>
    <col min="2071" max="2071" width="17.33203125" style="205" customWidth="1"/>
    <col min="2072" max="2072" width="15.5546875" style="205" customWidth="1"/>
    <col min="2073" max="2073" width="0" style="205" hidden="1"/>
    <col min="2074" max="2074" width="16.6640625" style="205" customWidth="1"/>
    <col min="2075" max="2075" width="17.44140625" style="205" customWidth="1"/>
    <col min="2076" max="2077" width="0" style="205" hidden="1"/>
    <col min="2078" max="2080" width="15.33203125" style="205" customWidth="1"/>
    <col min="2081" max="2081" width="17" style="205" customWidth="1"/>
    <col min="2082" max="2082" width="0" style="205" hidden="1"/>
    <col min="2083" max="2084" width="15.5546875" style="205" customWidth="1"/>
    <col min="2085" max="2085" width="13.6640625" style="205" customWidth="1"/>
    <col min="2086" max="2086" width="9" style="205" customWidth="1"/>
    <col min="2087" max="2087" width="49.88671875" style="205" customWidth="1"/>
    <col min="2088" max="2088" width="0" style="205" hidden="1"/>
    <col min="2089" max="2090" width="15.88671875" style="205" customWidth="1"/>
    <col min="2091" max="2091" width="14.5546875" style="205" customWidth="1"/>
    <col min="2092" max="2092" width="16.33203125" style="205" customWidth="1"/>
    <col min="2093" max="2093" width="18.109375" style="205" customWidth="1"/>
    <col min="2094" max="2094" width="14.109375" style="205" customWidth="1"/>
    <col min="2095" max="2321" width="0" style="205" hidden="1"/>
    <col min="2322" max="2322" width="7.5546875" style="205" customWidth="1"/>
    <col min="2323" max="2323" width="36.77734375" style="205" customWidth="1"/>
    <col min="2324" max="2325" width="0" style="205" hidden="1"/>
    <col min="2326" max="2326" width="16.6640625" style="205" customWidth="1"/>
    <col min="2327" max="2327" width="17.33203125" style="205" customWidth="1"/>
    <col min="2328" max="2328" width="15.5546875" style="205" customWidth="1"/>
    <col min="2329" max="2329" width="0" style="205" hidden="1"/>
    <col min="2330" max="2330" width="16.6640625" style="205" customWidth="1"/>
    <col min="2331" max="2331" width="17.44140625" style="205" customWidth="1"/>
    <col min="2332" max="2333" width="0" style="205" hidden="1"/>
    <col min="2334" max="2336" width="15.33203125" style="205" customWidth="1"/>
    <col min="2337" max="2337" width="17" style="205" customWidth="1"/>
    <col min="2338" max="2338" width="0" style="205" hidden="1"/>
    <col min="2339" max="2340" width="15.5546875" style="205" customWidth="1"/>
    <col min="2341" max="2341" width="13.6640625" style="205" customWidth="1"/>
    <col min="2342" max="2342" width="9" style="205" customWidth="1"/>
    <col min="2343" max="2343" width="49.88671875" style="205" customWidth="1"/>
    <col min="2344" max="2344" width="0" style="205" hidden="1"/>
    <col min="2345" max="2346" width="15.88671875" style="205" customWidth="1"/>
    <col min="2347" max="2347" width="14.5546875" style="205" customWidth="1"/>
    <col min="2348" max="2348" width="16.33203125" style="205" customWidth="1"/>
    <col min="2349" max="2349" width="18.109375" style="205" customWidth="1"/>
    <col min="2350" max="2350" width="14.109375" style="205" customWidth="1"/>
    <col min="2351" max="2577" width="0" style="205" hidden="1"/>
    <col min="2578" max="2578" width="7.5546875" style="205" customWidth="1"/>
    <col min="2579" max="2579" width="36.77734375" style="205" customWidth="1"/>
    <col min="2580" max="2581" width="0" style="205" hidden="1"/>
    <col min="2582" max="2582" width="16.6640625" style="205" customWidth="1"/>
    <col min="2583" max="2583" width="17.33203125" style="205" customWidth="1"/>
    <col min="2584" max="2584" width="15.5546875" style="205" customWidth="1"/>
    <col min="2585" max="2585" width="0" style="205" hidden="1"/>
    <col min="2586" max="2586" width="16.6640625" style="205" customWidth="1"/>
    <col min="2587" max="2587" width="17.44140625" style="205" customWidth="1"/>
    <col min="2588" max="2589" width="0" style="205" hidden="1"/>
    <col min="2590" max="2592" width="15.33203125" style="205" customWidth="1"/>
    <col min="2593" max="2593" width="17" style="205" customWidth="1"/>
    <col min="2594" max="2594" width="0" style="205" hidden="1"/>
    <col min="2595" max="2596" width="15.5546875" style="205" customWidth="1"/>
    <col min="2597" max="2597" width="13.6640625" style="205" customWidth="1"/>
    <col min="2598" max="2598" width="9" style="205" customWidth="1"/>
    <col min="2599" max="2599" width="49.88671875" style="205" customWidth="1"/>
    <col min="2600" max="2600" width="0" style="205" hidden="1"/>
    <col min="2601" max="2602" width="15.88671875" style="205" customWidth="1"/>
    <col min="2603" max="2603" width="14.5546875" style="205" customWidth="1"/>
    <col min="2604" max="2604" width="16.33203125" style="205" customWidth="1"/>
    <col min="2605" max="2605" width="18.109375" style="205" customWidth="1"/>
    <col min="2606" max="2606" width="14.109375" style="205" customWidth="1"/>
    <col min="2607" max="2833" width="0" style="205" hidden="1"/>
    <col min="2834" max="2834" width="7.5546875" style="205" customWidth="1"/>
    <col min="2835" max="2835" width="36.77734375" style="205" customWidth="1"/>
    <col min="2836" max="2837" width="0" style="205" hidden="1"/>
    <col min="2838" max="2838" width="16.6640625" style="205" customWidth="1"/>
    <col min="2839" max="2839" width="17.33203125" style="205" customWidth="1"/>
    <col min="2840" max="2840" width="15.5546875" style="205" customWidth="1"/>
    <col min="2841" max="2841" width="0" style="205" hidden="1"/>
    <col min="2842" max="2842" width="16.6640625" style="205" customWidth="1"/>
    <col min="2843" max="2843" width="17.44140625" style="205" customWidth="1"/>
    <col min="2844" max="2845" width="0" style="205" hidden="1"/>
    <col min="2846" max="2848" width="15.33203125" style="205" customWidth="1"/>
    <col min="2849" max="2849" width="17" style="205" customWidth="1"/>
    <col min="2850" max="2850" width="0" style="205" hidden="1"/>
    <col min="2851" max="2852" width="15.5546875" style="205" customWidth="1"/>
    <col min="2853" max="2853" width="13.6640625" style="205" customWidth="1"/>
    <col min="2854" max="2854" width="9" style="205" customWidth="1"/>
    <col min="2855" max="2855" width="49.88671875" style="205" customWidth="1"/>
    <col min="2856" max="2856" width="0" style="205" hidden="1"/>
    <col min="2857" max="2858" width="15.88671875" style="205" customWidth="1"/>
    <col min="2859" max="2859" width="14.5546875" style="205" customWidth="1"/>
    <col min="2860" max="2860" width="16.33203125" style="205" customWidth="1"/>
    <col min="2861" max="2861" width="18.109375" style="205" customWidth="1"/>
    <col min="2862" max="2862" width="14.109375" style="205" customWidth="1"/>
    <col min="2863" max="3089" width="0" style="205" hidden="1"/>
    <col min="3090" max="3090" width="7.5546875" style="205" customWidth="1"/>
    <col min="3091" max="3091" width="36.77734375" style="205" customWidth="1"/>
    <col min="3092" max="3093" width="0" style="205" hidden="1"/>
    <col min="3094" max="3094" width="16.6640625" style="205" customWidth="1"/>
    <col min="3095" max="3095" width="17.33203125" style="205" customWidth="1"/>
    <col min="3096" max="3096" width="15.5546875" style="205" customWidth="1"/>
    <col min="3097" max="3097" width="0" style="205" hidden="1"/>
    <col min="3098" max="3098" width="16.6640625" style="205" customWidth="1"/>
    <col min="3099" max="3099" width="17.44140625" style="205" customWidth="1"/>
    <col min="3100" max="3101" width="0" style="205" hidden="1"/>
    <col min="3102" max="3104" width="15.33203125" style="205" customWidth="1"/>
    <col min="3105" max="3105" width="17" style="205" customWidth="1"/>
    <col min="3106" max="3106" width="0" style="205" hidden="1"/>
    <col min="3107" max="3108" width="15.5546875" style="205" customWidth="1"/>
    <col min="3109" max="3109" width="13.6640625" style="205" customWidth="1"/>
    <col min="3110" max="3110" width="9" style="205" customWidth="1"/>
    <col min="3111" max="3111" width="49.88671875" style="205" customWidth="1"/>
    <col min="3112" max="3112" width="0" style="205" hidden="1"/>
    <col min="3113" max="3114" width="15.88671875" style="205" customWidth="1"/>
    <col min="3115" max="3115" width="14.5546875" style="205" customWidth="1"/>
    <col min="3116" max="3116" width="16.33203125" style="205" customWidth="1"/>
    <col min="3117" max="3117" width="18.109375" style="205" customWidth="1"/>
    <col min="3118" max="3118" width="14.109375" style="205" customWidth="1"/>
    <col min="3119" max="3345" width="0" style="205" hidden="1"/>
    <col min="3346" max="3346" width="7.5546875" style="205" customWidth="1"/>
    <col min="3347" max="3347" width="36.77734375" style="205" customWidth="1"/>
    <col min="3348" max="3349" width="0" style="205" hidden="1"/>
    <col min="3350" max="3350" width="16.6640625" style="205" customWidth="1"/>
    <col min="3351" max="3351" width="17.33203125" style="205" customWidth="1"/>
    <col min="3352" max="3352" width="15.5546875" style="205" customWidth="1"/>
    <col min="3353" max="3353" width="0" style="205" hidden="1"/>
    <col min="3354" max="3354" width="16.6640625" style="205" customWidth="1"/>
    <col min="3355" max="3355" width="17.44140625" style="205" customWidth="1"/>
    <col min="3356" max="3357" width="0" style="205" hidden="1"/>
    <col min="3358" max="3360" width="15.33203125" style="205" customWidth="1"/>
    <col min="3361" max="3361" width="17" style="205" customWidth="1"/>
    <col min="3362" max="3362" width="0" style="205" hidden="1"/>
    <col min="3363" max="3364" width="15.5546875" style="205" customWidth="1"/>
    <col min="3365" max="3365" width="13.6640625" style="205" customWidth="1"/>
    <col min="3366" max="3366" width="9" style="205" customWidth="1"/>
    <col min="3367" max="3367" width="49.88671875" style="205" customWidth="1"/>
    <col min="3368" max="3368" width="0" style="205" hidden="1"/>
    <col min="3369" max="3370" width="15.88671875" style="205" customWidth="1"/>
    <col min="3371" max="3371" width="14.5546875" style="205" customWidth="1"/>
    <col min="3372" max="3372" width="16.33203125" style="205" customWidth="1"/>
    <col min="3373" max="3373" width="18.109375" style="205" customWidth="1"/>
    <col min="3374" max="3374" width="14.109375" style="205" customWidth="1"/>
    <col min="3375" max="3601" width="0" style="205" hidden="1"/>
    <col min="3602" max="3602" width="7.5546875" style="205" customWidth="1"/>
    <col min="3603" max="3603" width="36.77734375" style="205" customWidth="1"/>
    <col min="3604" max="3605" width="0" style="205" hidden="1"/>
    <col min="3606" max="3606" width="16.6640625" style="205" customWidth="1"/>
    <col min="3607" max="3607" width="17.33203125" style="205" customWidth="1"/>
    <col min="3608" max="3608" width="15.5546875" style="205" customWidth="1"/>
    <col min="3609" max="3609" width="0" style="205" hidden="1"/>
    <col min="3610" max="3610" width="16.6640625" style="205" customWidth="1"/>
    <col min="3611" max="3611" width="17.44140625" style="205" customWidth="1"/>
    <col min="3612" max="3613" width="0" style="205" hidden="1"/>
    <col min="3614" max="3616" width="15.33203125" style="205" customWidth="1"/>
    <col min="3617" max="3617" width="17" style="205" customWidth="1"/>
    <col min="3618" max="3618" width="0" style="205" hidden="1"/>
    <col min="3619" max="3620" width="15.5546875" style="205" customWidth="1"/>
    <col min="3621" max="3621" width="13.6640625" style="205" customWidth="1"/>
    <col min="3622" max="3622" width="9" style="205" customWidth="1"/>
    <col min="3623" max="3623" width="49.88671875" style="205" customWidth="1"/>
    <col min="3624" max="3624" width="0" style="205" hidden="1"/>
    <col min="3625" max="3626" width="15.88671875" style="205" customWidth="1"/>
    <col min="3627" max="3627" width="14.5546875" style="205" customWidth="1"/>
    <col min="3628" max="3628" width="16.33203125" style="205" customWidth="1"/>
    <col min="3629" max="3629" width="18.109375" style="205" customWidth="1"/>
    <col min="3630" max="3630" width="14.109375" style="205" customWidth="1"/>
    <col min="3631" max="3857" width="0" style="205" hidden="1"/>
    <col min="3858" max="3858" width="7.5546875" style="205" customWidth="1"/>
    <col min="3859" max="3859" width="36.77734375" style="205" customWidth="1"/>
    <col min="3860" max="3861" width="0" style="205" hidden="1"/>
    <col min="3862" max="3862" width="16.6640625" style="205" customWidth="1"/>
    <col min="3863" max="3863" width="17.33203125" style="205" customWidth="1"/>
    <col min="3864" max="3864" width="15.5546875" style="205" customWidth="1"/>
    <col min="3865" max="3865" width="0" style="205" hidden="1"/>
    <col min="3866" max="3866" width="16.6640625" style="205" customWidth="1"/>
    <col min="3867" max="3867" width="17.44140625" style="205" customWidth="1"/>
    <col min="3868" max="3869" width="0" style="205" hidden="1"/>
    <col min="3870" max="3872" width="15.33203125" style="205" customWidth="1"/>
    <col min="3873" max="3873" width="17" style="205" customWidth="1"/>
    <col min="3874" max="3874" width="0" style="205" hidden="1"/>
    <col min="3875" max="3876" width="15.5546875" style="205" customWidth="1"/>
    <col min="3877" max="3877" width="13.6640625" style="205" customWidth="1"/>
    <col min="3878" max="3878" width="9" style="205" customWidth="1"/>
    <col min="3879" max="3879" width="49.88671875" style="205" customWidth="1"/>
    <col min="3880" max="3880" width="0" style="205" hidden="1"/>
    <col min="3881" max="3882" width="15.88671875" style="205" customWidth="1"/>
    <col min="3883" max="3883" width="14.5546875" style="205" customWidth="1"/>
    <col min="3884" max="3884" width="16.33203125" style="205" customWidth="1"/>
    <col min="3885" max="3885" width="18.109375" style="205" customWidth="1"/>
    <col min="3886" max="3886" width="14.109375" style="205" customWidth="1"/>
    <col min="3887" max="4113" width="0" style="205" hidden="1"/>
    <col min="4114" max="4114" width="7.5546875" style="205" customWidth="1"/>
    <col min="4115" max="4115" width="36.77734375" style="205" customWidth="1"/>
    <col min="4116" max="4117" width="0" style="205" hidden="1"/>
    <col min="4118" max="4118" width="16.6640625" style="205" customWidth="1"/>
    <col min="4119" max="4119" width="17.33203125" style="205" customWidth="1"/>
    <col min="4120" max="4120" width="15.5546875" style="205" customWidth="1"/>
    <col min="4121" max="4121" width="0" style="205" hidden="1"/>
    <col min="4122" max="4122" width="16.6640625" style="205" customWidth="1"/>
    <col min="4123" max="4123" width="17.44140625" style="205" customWidth="1"/>
    <col min="4124" max="4125" width="0" style="205" hidden="1"/>
    <col min="4126" max="4128" width="15.33203125" style="205" customWidth="1"/>
    <col min="4129" max="4129" width="17" style="205" customWidth="1"/>
    <col min="4130" max="4130" width="0" style="205" hidden="1"/>
    <col min="4131" max="4132" width="15.5546875" style="205" customWidth="1"/>
    <col min="4133" max="4133" width="13.6640625" style="205" customWidth="1"/>
    <col min="4134" max="4134" width="9" style="205" customWidth="1"/>
    <col min="4135" max="4135" width="49.88671875" style="205" customWidth="1"/>
    <col min="4136" max="4136" width="0" style="205" hidden="1"/>
    <col min="4137" max="4138" width="15.88671875" style="205" customWidth="1"/>
    <col min="4139" max="4139" width="14.5546875" style="205" customWidth="1"/>
    <col min="4140" max="4140" width="16.33203125" style="205" customWidth="1"/>
    <col min="4141" max="4141" width="18.109375" style="205" customWidth="1"/>
    <col min="4142" max="4142" width="14.109375" style="205" customWidth="1"/>
    <col min="4143" max="4369" width="0" style="205" hidden="1"/>
    <col min="4370" max="4370" width="7.5546875" style="205" customWidth="1"/>
    <col min="4371" max="4371" width="36.77734375" style="205" customWidth="1"/>
    <col min="4372" max="4373" width="0" style="205" hidden="1"/>
    <col min="4374" max="4374" width="16.6640625" style="205" customWidth="1"/>
    <col min="4375" max="4375" width="17.33203125" style="205" customWidth="1"/>
    <col min="4376" max="4376" width="15.5546875" style="205" customWidth="1"/>
    <col min="4377" max="4377" width="0" style="205" hidden="1"/>
    <col min="4378" max="4378" width="16.6640625" style="205" customWidth="1"/>
    <col min="4379" max="4379" width="17.44140625" style="205" customWidth="1"/>
    <col min="4380" max="4381" width="0" style="205" hidden="1"/>
    <col min="4382" max="4384" width="15.33203125" style="205" customWidth="1"/>
    <col min="4385" max="4385" width="17" style="205" customWidth="1"/>
    <col min="4386" max="4386" width="0" style="205" hidden="1"/>
    <col min="4387" max="4388" width="15.5546875" style="205" customWidth="1"/>
    <col min="4389" max="4389" width="13.6640625" style="205" customWidth="1"/>
    <col min="4390" max="4390" width="9" style="205" customWidth="1"/>
    <col min="4391" max="4391" width="49.88671875" style="205" customWidth="1"/>
    <col min="4392" max="4392" width="0" style="205" hidden="1"/>
    <col min="4393" max="4394" width="15.88671875" style="205" customWidth="1"/>
    <col min="4395" max="4395" width="14.5546875" style="205" customWidth="1"/>
    <col min="4396" max="4396" width="16.33203125" style="205" customWidth="1"/>
    <col min="4397" max="4397" width="18.109375" style="205" customWidth="1"/>
    <col min="4398" max="4398" width="14.109375" style="205" customWidth="1"/>
    <col min="4399" max="4625" width="0" style="205" hidden="1"/>
    <col min="4626" max="4626" width="7.5546875" style="205" customWidth="1"/>
    <col min="4627" max="4627" width="36.77734375" style="205" customWidth="1"/>
    <col min="4628" max="4629" width="0" style="205" hidden="1"/>
    <col min="4630" max="4630" width="16.6640625" style="205" customWidth="1"/>
    <col min="4631" max="4631" width="17.33203125" style="205" customWidth="1"/>
    <col min="4632" max="4632" width="15.5546875" style="205" customWidth="1"/>
    <col min="4633" max="4633" width="0" style="205" hidden="1"/>
    <col min="4634" max="4634" width="16.6640625" style="205" customWidth="1"/>
    <col min="4635" max="4635" width="17.44140625" style="205" customWidth="1"/>
    <col min="4636" max="4637" width="0" style="205" hidden="1"/>
    <col min="4638" max="4640" width="15.33203125" style="205" customWidth="1"/>
    <col min="4641" max="4641" width="17" style="205" customWidth="1"/>
    <col min="4642" max="4642" width="0" style="205" hidden="1"/>
    <col min="4643" max="4644" width="15.5546875" style="205" customWidth="1"/>
    <col min="4645" max="4645" width="13.6640625" style="205" customWidth="1"/>
    <col min="4646" max="4646" width="9" style="205" customWidth="1"/>
    <col min="4647" max="4647" width="49.88671875" style="205" customWidth="1"/>
    <col min="4648" max="4648" width="0" style="205" hidden="1"/>
    <col min="4649" max="4650" width="15.88671875" style="205" customWidth="1"/>
    <col min="4651" max="4651" width="14.5546875" style="205" customWidth="1"/>
    <col min="4652" max="4652" width="16.33203125" style="205" customWidth="1"/>
    <col min="4653" max="4653" width="18.109375" style="205" customWidth="1"/>
    <col min="4654" max="4654" width="14.109375" style="205" customWidth="1"/>
    <col min="4655" max="4881" width="0" style="205" hidden="1"/>
    <col min="4882" max="4882" width="7.5546875" style="205" customWidth="1"/>
    <col min="4883" max="4883" width="36.77734375" style="205" customWidth="1"/>
    <col min="4884" max="4885" width="0" style="205" hidden="1"/>
    <col min="4886" max="4886" width="16.6640625" style="205" customWidth="1"/>
    <col min="4887" max="4887" width="17.33203125" style="205" customWidth="1"/>
    <col min="4888" max="4888" width="15.5546875" style="205" customWidth="1"/>
    <col min="4889" max="4889" width="0" style="205" hidden="1"/>
    <col min="4890" max="4890" width="16.6640625" style="205" customWidth="1"/>
    <col min="4891" max="4891" width="17.44140625" style="205" customWidth="1"/>
    <col min="4892" max="4893" width="0" style="205" hidden="1"/>
    <col min="4894" max="4896" width="15.33203125" style="205" customWidth="1"/>
    <col min="4897" max="4897" width="17" style="205" customWidth="1"/>
    <col min="4898" max="4898" width="0" style="205" hidden="1"/>
    <col min="4899" max="4900" width="15.5546875" style="205" customWidth="1"/>
    <col min="4901" max="4901" width="13.6640625" style="205" customWidth="1"/>
    <col min="4902" max="4902" width="9" style="205" customWidth="1"/>
    <col min="4903" max="4903" width="49.88671875" style="205" customWidth="1"/>
    <col min="4904" max="4904" width="0" style="205" hidden="1"/>
    <col min="4905" max="4906" width="15.88671875" style="205" customWidth="1"/>
    <col min="4907" max="4907" width="14.5546875" style="205" customWidth="1"/>
    <col min="4908" max="4908" width="16.33203125" style="205" customWidth="1"/>
    <col min="4909" max="4909" width="18.109375" style="205" customWidth="1"/>
    <col min="4910" max="4910" width="14.109375" style="205" customWidth="1"/>
    <col min="4911" max="5137" width="0" style="205" hidden="1"/>
    <col min="5138" max="5138" width="7.5546875" style="205" customWidth="1"/>
    <col min="5139" max="5139" width="36.77734375" style="205" customWidth="1"/>
    <col min="5140" max="5141" width="0" style="205" hidden="1"/>
    <col min="5142" max="5142" width="16.6640625" style="205" customWidth="1"/>
    <col min="5143" max="5143" width="17.33203125" style="205" customWidth="1"/>
    <col min="5144" max="5144" width="15.5546875" style="205" customWidth="1"/>
    <col min="5145" max="5145" width="0" style="205" hidden="1"/>
    <col min="5146" max="5146" width="16.6640625" style="205" customWidth="1"/>
    <col min="5147" max="5147" width="17.44140625" style="205" customWidth="1"/>
    <col min="5148" max="5149" width="0" style="205" hidden="1"/>
    <col min="5150" max="5152" width="15.33203125" style="205" customWidth="1"/>
    <col min="5153" max="5153" width="17" style="205" customWidth="1"/>
    <col min="5154" max="5154" width="0" style="205" hidden="1"/>
    <col min="5155" max="5156" width="15.5546875" style="205" customWidth="1"/>
    <col min="5157" max="5157" width="13.6640625" style="205" customWidth="1"/>
    <col min="5158" max="5158" width="9" style="205" customWidth="1"/>
    <col min="5159" max="5159" width="49.88671875" style="205" customWidth="1"/>
    <col min="5160" max="5160" width="0" style="205" hidden="1"/>
    <col min="5161" max="5162" width="15.88671875" style="205" customWidth="1"/>
    <col min="5163" max="5163" width="14.5546875" style="205" customWidth="1"/>
    <col min="5164" max="5164" width="16.33203125" style="205" customWidth="1"/>
    <col min="5165" max="5165" width="18.109375" style="205" customWidth="1"/>
    <col min="5166" max="5166" width="14.109375" style="205" customWidth="1"/>
    <col min="5167" max="5393" width="0" style="205" hidden="1"/>
    <col min="5394" max="5394" width="7.5546875" style="205" customWidth="1"/>
    <col min="5395" max="5395" width="36.77734375" style="205" customWidth="1"/>
    <col min="5396" max="5397" width="0" style="205" hidden="1"/>
    <col min="5398" max="5398" width="16.6640625" style="205" customWidth="1"/>
    <col min="5399" max="5399" width="17.33203125" style="205" customWidth="1"/>
    <col min="5400" max="5400" width="15.5546875" style="205" customWidth="1"/>
    <col min="5401" max="5401" width="0" style="205" hidden="1"/>
    <col min="5402" max="5402" width="16.6640625" style="205" customWidth="1"/>
    <col min="5403" max="5403" width="17.44140625" style="205" customWidth="1"/>
    <col min="5404" max="5405" width="0" style="205" hidden="1"/>
    <col min="5406" max="5408" width="15.33203125" style="205" customWidth="1"/>
    <col min="5409" max="5409" width="17" style="205" customWidth="1"/>
    <col min="5410" max="5410" width="0" style="205" hidden="1"/>
    <col min="5411" max="5412" width="15.5546875" style="205" customWidth="1"/>
    <col min="5413" max="5413" width="13.6640625" style="205" customWidth="1"/>
    <col min="5414" max="5414" width="9" style="205" customWidth="1"/>
    <col min="5415" max="5415" width="49.88671875" style="205" customWidth="1"/>
    <col min="5416" max="5416" width="0" style="205" hidden="1"/>
    <col min="5417" max="5418" width="15.88671875" style="205" customWidth="1"/>
    <col min="5419" max="5419" width="14.5546875" style="205" customWidth="1"/>
    <col min="5420" max="5420" width="16.33203125" style="205" customWidth="1"/>
    <col min="5421" max="5421" width="18.109375" style="205" customWidth="1"/>
    <col min="5422" max="5422" width="14.109375" style="205" customWidth="1"/>
    <col min="5423" max="5649" width="0" style="205" hidden="1"/>
    <col min="5650" max="5650" width="7.5546875" style="205" customWidth="1"/>
    <col min="5651" max="5651" width="36.77734375" style="205" customWidth="1"/>
    <col min="5652" max="5653" width="0" style="205" hidden="1"/>
    <col min="5654" max="5654" width="16.6640625" style="205" customWidth="1"/>
    <col min="5655" max="5655" width="17.33203125" style="205" customWidth="1"/>
    <col min="5656" max="5656" width="15.5546875" style="205" customWidth="1"/>
    <col min="5657" max="5657" width="0" style="205" hidden="1"/>
    <col min="5658" max="5658" width="16.6640625" style="205" customWidth="1"/>
    <col min="5659" max="5659" width="17.44140625" style="205" customWidth="1"/>
    <col min="5660" max="5661" width="0" style="205" hidden="1"/>
    <col min="5662" max="5664" width="15.33203125" style="205" customWidth="1"/>
    <col min="5665" max="5665" width="17" style="205" customWidth="1"/>
    <col min="5666" max="5666" width="0" style="205" hidden="1"/>
    <col min="5667" max="5668" width="15.5546875" style="205" customWidth="1"/>
    <col min="5669" max="5669" width="13.6640625" style="205" customWidth="1"/>
    <col min="5670" max="5670" width="9" style="205" customWidth="1"/>
    <col min="5671" max="5671" width="49.88671875" style="205" customWidth="1"/>
    <col min="5672" max="5672" width="0" style="205" hidden="1"/>
    <col min="5673" max="5674" width="15.88671875" style="205" customWidth="1"/>
    <col min="5675" max="5675" width="14.5546875" style="205" customWidth="1"/>
    <col min="5676" max="5676" width="16.33203125" style="205" customWidth="1"/>
    <col min="5677" max="5677" width="18.109375" style="205" customWidth="1"/>
    <col min="5678" max="5678" width="14.109375" style="205" customWidth="1"/>
    <col min="5679" max="5905" width="0" style="205" hidden="1"/>
    <col min="5906" max="5906" width="7.5546875" style="205" customWidth="1"/>
    <col min="5907" max="5907" width="36.77734375" style="205" customWidth="1"/>
    <col min="5908" max="5909" width="0" style="205" hidden="1"/>
    <col min="5910" max="5910" width="16.6640625" style="205" customWidth="1"/>
    <col min="5911" max="5911" width="17.33203125" style="205" customWidth="1"/>
    <col min="5912" max="5912" width="15.5546875" style="205" customWidth="1"/>
    <col min="5913" max="5913" width="0" style="205" hidden="1"/>
    <col min="5914" max="5914" width="16.6640625" style="205" customWidth="1"/>
    <col min="5915" max="5915" width="17.44140625" style="205" customWidth="1"/>
    <col min="5916" max="5917" width="0" style="205" hidden="1"/>
    <col min="5918" max="5920" width="15.33203125" style="205" customWidth="1"/>
    <col min="5921" max="5921" width="17" style="205" customWidth="1"/>
    <col min="5922" max="5922" width="0" style="205" hidden="1"/>
    <col min="5923" max="5924" width="15.5546875" style="205" customWidth="1"/>
    <col min="5925" max="5925" width="13.6640625" style="205" customWidth="1"/>
    <col min="5926" max="5926" width="9" style="205" customWidth="1"/>
    <col min="5927" max="5927" width="49.88671875" style="205" customWidth="1"/>
    <col min="5928" max="5928" width="0" style="205" hidden="1"/>
    <col min="5929" max="5930" width="15.88671875" style="205" customWidth="1"/>
    <col min="5931" max="5931" width="14.5546875" style="205" customWidth="1"/>
    <col min="5932" max="5932" width="16.33203125" style="205" customWidth="1"/>
    <col min="5933" max="5933" width="18.109375" style="205" customWidth="1"/>
    <col min="5934" max="5934" width="14.109375" style="205" customWidth="1"/>
    <col min="5935" max="6161" width="0" style="205" hidden="1"/>
    <col min="6162" max="6162" width="7.5546875" style="205" customWidth="1"/>
    <col min="6163" max="6163" width="36.77734375" style="205" customWidth="1"/>
    <col min="6164" max="6165" width="0" style="205" hidden="1"/>
    <col min="6166" max="6166" width="16.6640625" style="205" customWidth="1"/>
    <col min="6167" max="6167" width="17.33203125" style="205" customWidth="1"/>
    <col min="6168" max="6168" width="15.5546875" style="205" customWidth="1"/>
    <col min="6169" max="6169" width="0" style="205" hidden="1"/>
    <col min="6170" max="6170" width="16.6640625" style="205" customWidth="1"/>
    <col min="6171" max="6171" width="17.44140625" style="205" customWidth="1"/>
    <col min="6172" max="6173" width="0" style="205" hidden="1"/>
    <col min="6174" max="6176" width="15.33203125" style="205" customWidth="1"/>
    <col min="6177" max="6177" width="17" style="205" customWidth="1"/>
    <col min="6178" max="6178" width="0" style="205" hidden="1"/>
    <col min="6179" max="6180" width="15.5546875" style="205" customWidth="1"/>
    <col min="6181" max="6181" width="13.6640625" style="205" customWidth="1"/>
    <col min="6182" max="6182" width="9" style="205" customWidth="1"/>
    <col min="6183" max="6183" width="49.88671875" style="205" customWidth="1"/>
    <col min="6184" max="6184" width="0" style="205" hidden="1"/>
    <col min="6185" max="6186" width="15.88671875" style="205" customWidth="1"/>
    <col min="6187" max="6187" width="14.5546875" style="205" customWidth="1"/>
    <col min="6188" max="6188" width="16.33203125" style="205" customWidth="1"/>
    <col min="6189" max="6189" width="18.109375" style="205" customWidth="1"/>
    <col min="6190" max="6190" width="14.109375" style="205" customWidth="1"/>
    <col min="6191" max="6417" width="0" style="205" hidden="1"/>
    <col min="6418" max="6418" width="7.5546875" style="205" customWidth="1"/>
    <col min="6419" max="6419" width="36.77734375" style="205" customWidth="1"/>
    <col min="6420" max="6421" width="0" style="205" hidden="1"/>
    <col min="6422" max="6422" width="16.6640625" style="205" customWidth="1"/>
    <col min="6423" max="6423" width="17.33203125" style="205" customWidth="1"/>
    <col min="6424" max="6424" width="15.5546875" style="205" customWidth="1"/>
    <col min="6425" max="6425" width="0" style="205" hidden="1"/>
    <col min="6426" max="6426" width="16.6640625" style="205" customWidth="1"/>
    <col min="6427" max="6427" width="17.44140625" style="205" customWidth="1"/>
    <col min="6428" max="6429" width="0" style="205" hidden="1"/>
    <col min="6430" max="6432" width="15.33203125" style="205" customWidth="1"/>
    <col min="6433" max="6433" width="17" style="205" customWidth="1"/>
    <col min="6434" max="6434" width="0" style="205" hidden="1"/>
    <col min="6435" max="6436" width="15.5546875" style="205" customWidth="1"/>
    <col min="6437" max="6437" width="13.6640625" style="205" customWidth="1"/>
    <col min="6438" max="6438" width="9" style="205" customWidth="1"/>
    <col min="6439" max="6439" width="49.88671875" style="205" customWidth="1"/>
    <col min="6440" max="6440" width="0" style="205" hidden="1"/>
    <col min="6441" max="6442" width="15.88671875" style="205" customWidth="1"/>
    <col min="6443" max="6443" width="14.5546875" style="205" customWidth="1"/>
    <col min="6444" max="6444" width="16.33203125" style="205" customWidth="1"/>
    <col min="6445" max="6445" width="18.109375" style="205" customWidth="1"/>
    <col min="6446" max="6446" width="14.109375" style="205" customWidth="1"/>
    <col min="6447" max="6673" width="0" style="205" hidden="1"/>
    <col min="6674" max="6674" width="7.5546875" style="205" customWidth="1"/>
    <col min="6675" max="6675" width="36.77734375" style="205" customWidth="1"/>
    <col min="6676" max="6677" width="0" style="205" hidden="1"/>
    <col min="6678" max="6678" width="16.6640625" style="205" customWidth="1"/>
    <col min="6679" max="6679" width="17.33203125" style="205" customWidth="1"/>
    <col min="6680" max="6680" width="15.5546875" style="205" customWidth="1"/>
    <col min="6681" max="6681" width="0" style="205" hidden="1"/>
    <col min="6682" max="6682" width="16.6640625" style="205" customWidth="1"/>
    <col min="6683" max="6683" width="17.44140625" style="205" customWidth="1"/>
    <col min="6684" max="6685" width="0" style="205" hidden="1"/>
    <col min="6686" max="6688" width="15.33203125" style="205" customWidth="1"/>
    <col min="6689" max="6689" width="17" style="205" customWidth="1"/>
    <col min="6690" max="6690" width="0" style="205" hidden="1"/>
    <col min="6691" max="6692" width="15.5546875" style="205" customWidth="1"/>
    <col min="6693" max="6693" width="13.6640625" style="205" customWidth="1"/>
    <col min="6694" max="6694" width="9" style="205" customWidth="1"/>
    <col min="6695" max="6695" width="49.88671875" style="205" customWidth="1"/>
    <col min="6696" max="6696" width="0" style="205" hidden="1"/>
    <col min="6697" max="6698" width="15.88671875" style="205" customWidth="1"/>
    <col min="6699" max="6699" width="14.5546875" style="205" customWidth="1"/>
    <col min="6700" max="6700" width="16.33203125" style="205" customWidth="1"/>
    <col min="6701" max="6701" width="18.109375" style="205" customWidth="1"/>
    <col min="6702" max="6702" width="14.109375" style="205" customWidth="1"/>
    <col min="6703" max="6929" width="0" style="205" hidden="1"/>
    <col min="6930" max="6930" width="7.5546875" style="205" customWidth="1"/>
    <col min="6931" max="6931" width="36.77734375" style="205" customWidth="1"/>
    <col min="6932" max="6933" width="0" style="205" hidden="1"/>
    <col min="6934" max="6934" width="16.6640625" style="205" customWidth="1"/>
    <col min="6935" max="6935" width="17.33203125" style="205" customWidth="1"/>
    <col min="6936" max="6936" width="15.5546875" style="205" customWidth="1"/>
    <col min="6937" max="6937" width="0" style="205" hidden="1"/>
    <col min="6938" max="6938" width="16.6640625" style="205" customWidth="1"/>
    <col min="6939" max="6939" width="17.44140625" style="205" customWidth="1"/>
    <col min="6940" max="6941" width="0" style="205" hidden="1"/>
    <col min="6942" max="6944" width="15.33203125" style="205" customWidth="1"/>
    <col min="6945" max="6945" width="17" style="205" customWidth="1"/>
    <col min="6946" max="6946" width="0" style="205" hidden="1"/>
    <col min="6947" max="6948" width="15.5546875" style="205" customWidth="1"/>
    <col min="6949" max="6949" width="13.6640625" style="205" customWidth="1"/>
    <col min="6950" max="6950" width="9" style="205" customWidth="1"/>
    <col min="6951" max="6951" width="49.88671875" style="205" customWidth="1"/>
    <col min="6952" max="6952" width="0" style="205" hidden="1"/>
    <col min="6953" max="6954" width="15.88671875" style="205" customWidth="1"/>
    <col min="6955" max="6955" width="14.5546875" style="205" customWidth="1"/>
    <col min="6956" max="6956" width="16.33203125" style="205" customWidth="1"/>
    <col min="6957" max="6957" width="18.109375" style="205" customWidth="1"/>
    <col min="6958" max="6958" width="14.109375" style="205" customWidth="1"/>
    <col min="6959" max="7185" width="0" style="205" hidden="1"/>
    <col min="7186" max="7186" width="7.5546875" style="205" customWidth="1"/>
    <col min="7187" max="7187" width="36.77734375" style="205" customWidth="1"/>
    <col min="7188" max="7189" width="0" style="205" hidden="1"/>
    <col min="7190" max="7190" width="16.6640625" style="205" customWidth="1"/>
    <col min="7191" max="7191" width="17.33203125" style="205" customWidth="1"/>
    <col min="7192" max="7192" width="15.5546875" style="205" customWidth="1"/>
    <col min="7193" max="7193" width="0" style="205" hidden="1"/>
    <col min="7194" max="7194" width="16.6640625" style="205" customWidth="1"/>
    <col min="7195" max="7195" width="17.44140625" style="205" customWidth="1"/>
    <col min="7196" max="7197" width="0" style="205" hidden="1"/>
    <col min="7198" max="7200" width="15.33203125" style="205" customWidth="1"/>
    <col min="7201" max="7201" width="17" style="205" customWidth="1"/>
    <col min="7202" max="7202" width="0" style="205" hidden="1"/>
    <col min="7203" max="7204" width="15.5546875" style="205" customWidth="1"/>
    <col min="7205" max="7205" width="13.6640625" style="205" customWidth="1"/>
    <col min="7206" max="7206" width="9" style="205" customWidth="1"/>
    <col min="7207" max="7207" width="49.88671875" style="205" customWidth="1"/>
    <col min="7208" max="7208" width="0" style="205" hidden="1"/>
    <col min="7209" max="7210" width="15.88671875" style="205" customWidth="1"/>
    <col min="7211" max="7211" width="14.5546875" style="205" customWidth="1"/>
    <col min="7212" max="7212" width="16.33203125" style="205" customWidth="1"/>
    <col min="7213" max="7213" width="18.109375" style="205" customWidth="1"/>
    <col min="7214" max="7214" width="14.109375" style="205" customWidth="1"/>
    <col min="7215" max="7441" width="0" style="205" hidden="1"/>
    <col min="7442" max="7442" width="7.5546875" style="205" customWidth="1"/>
    <col min="7443" max="7443" width="36.77734375" style="205" customWidth="1"/>
    <col min="7444" max="7445" width="0" style="205" hidden="1"/>
    <col min="7446" max="7446" width="16.6640625" style="205" customWidth="1"/>
    <col min="7447" max="7447" width="17.33203125" style="205" customWidth="1"/>
    <col min="7448" max="7448" width="15.5546875" style="205" customWidth="1"/>
    <col min="7449" max="7449" width="0" style="205" hidden="1"/>
    <col min="7450" max="7450" width="16.6640625" style="205" customWidth="1"/>
    <col min="7451" max="7451" width="17.44140625" style="205" customWidth="1"/>
    <col min="7452" max="7453" width="0" style="205" hidden="1"/>
    <col min="7454" max="7456" width="15.33203125" style="205" customWidth="1"/>
    <col min="7457" max="7457" width="17" style="205" customWidth="1"/>
    <col min="7458" max="7458" width="0" style="205" hidden="1"/>
    <col min="7459" max="7460" width="15.5546875" style="205" customWidth="1"/>
    <col min="7461" max="7461" width="13.6640625" style="205" customWidth="1"/>
    <col min="7462" max="7462" width="9" style="205" customWidth="1"/>
    <col min="7463" max="7463" width="49.88671875" style="205" customWidth="1"/>
    <col min="7464" max="7464" width="0" style="205" hidden="1"/>
    <col min="7465" max="7466" width="15.88671875" style="205" customWidth="1"/>
    <col min="7467" max="7467" width="14.5546875" style="205" customWidth="1"/>
    <col min="7468" max="7468" width="16.33203125" style="205" customWidth="1"/>
    <col min="7469" max="7469" width="18.109375" style="205" customWidth="1"/>
    <col min="7470" max="7470" width="14.109375" style="205" customWidth="1"/>
    <col min="7471" max="7697" width="0" style="205" hidden="1"/>
    <col min="7698" max="7698" width="7.5546875" style="205" customWidth="1"/>
    <col min="7699" max="7699" width="36.77734375" style="205" customWidth="1"/>
    <col min="7700" max="7701" width="0" style="205" hidden="1"/>
    <col min="7702" max="7702" width="16.6640625" style="205" customWidth="1"/>
    <col min="7703" max="7703" width="17.33203125" style="205" customWidth="1"/>
    <col min="7704" max="7704" width="15.5546875" style="205" customWidth="1"/>
    <col min="7705" max="7705" width="0" style="205" hidden="1"/>
    <col min="7706" max="7706" width="16.6640625" style="205" customWidth="1"/>
    <col min="7707" max="7707" width="17.44140625" style="205" customWidth="1"/>
    <col min="7708" max="7709" width="0" style="205" hidden="1"/>
    <col min="7710" max="7712" width="15.33203125" style="205" customWidth="1"/>
    <col min="7713" max="7713" width="17" style="205" customWidth="1"/>
    <col min="7714" max="7714" width="0" style="205" hidden="1"/>
    <col min="7715" max="7716" width="15.5546875" style="205" customWidth="1"/>
    <col min="7717" max="7717" width="13.6640625" style="205" customWidth="1"/>
    <col min="7718" max="7718" width="9" style="205" customWidth="1"/>
    <col min="7719" max="7719" width="49.88671875" style="205" customWidth="1"/>
    <col min="7720" max="7720" width="0" style="205" hidden="1"/>
    <col min="7721" max="7722" width="15.88671875" style="205" customWidth="1"/>
    <col min="7723" max="7723" width="14.5546875" style="205" customWidth="1"/>
    <col min="7724" max="7724" width="16.33203125" style="205" customWidth="1"/>
    <col min="7725" max="7725" width="18.109375" style="205" customWidth="1"/>
    <col min="7726" max="7726" width="14.109375" style="205" customWidth="1"/>
    <col min="7727" max="7953" width="0" style="205" hidden="1"/>
    <col min="7954" max="7954" width="7.5546875" style="205" customWidth="1"/>
    <col min="7955" max="7955" width="36.77734375" style="205" customWidth="1"/>
    <col min="7956" max="7957" width="0" style="205" hidden="1"/>
    <col min="7958" max="7958" width="16.6640625" style="205" customWidth="1"/>
    <col min="7959" max="7959" width="17.33203125" style="205" customWidth="1"/>
    <col min="7960" max="7960" width="15.5546875" style="205" customWidth="1"/>
    <col min="7961" max="7961" width="0" style="205" hidden="1"/>
    <col min="7962" max="7962" width="16.6640625" style="205" customWidth="1"/>
    <col min="7963" max="7963" width="17.44140625" style="205" customWidth="1"/>
    <col min="7964" max="7965" width="0" style="205" hidden="1"/>
    <col min="7966" max="7968" width="15.33203125" style="205" customWidth="1"/>
    <col min="7969" max="7969" width="17" style="205" customWidth="1"/>
    <col min="7970" max="7970" width="0" style="205" hidden="1"/>
    <col min="7971" max="7972" width="15.5546875" style="205" customWidth="1"/>
    <col min="7973" max="7973" width="13.6640625" style="205" customWidth="1"/>
    <col min="7974" max="7974" width="9" style="205" customWidth="1"/>
    <col min="7975" max="7975" width="49.88671875" style="205" customWidth="1"/>
    <col min="7976" max="7976" width="0" style="205" hidden="1"/>
    <col min="7977" max="7978" width="15.88671875" style="205" customWidth="1"/>
    <col min="7979" max="7979" width="14.5546875" style="205" customWidth="1"/>
    <col min="7980" max="7980" width="16.33203125" style="205" customWidth="1"/>
    <col min="7981" max="7981" width="18.109375" style="205" customWidth="1"/>
    <col min="7982" max="7982" width="14.109375" style="205" customWidth="1"/>
    <col min="7983" max="8209" width="0" style="205" hidden="1"/>
    <col min="8210" max="8210" width="7.5546875" style="205" customWidth="1"/>
    <col min="8211" max="8211" width="36.77734375" style="205" customWidth="1"/>
    <col min="8212" max="8213" width="0" style="205" hidden="1"/>
    <col min="8214" max="8214" width="16.6640625" style="205" customWidth="1"/>
    <col min="8215" max="8215" width="17.33203125" style="205" customWidth="1"/>
    <col min="8216" max="8216" width="15.5546875" style="205" customWidth="1"/>
    <col min="8217" max="8217" width="0" style="205" hidden="1"/>
    <col min="8218" max="8218" width="16.6640625" style="205" customWidth="1"/>
    <col min="8219" max="8219" width="17.44140625" style="205" customWidth="1"/>
    <col min="8220" max="8221" width="0" style="205" hidden="1"/>
    <col min="8222" max="8224" width="15.33203125" style="205" customWidth="1"/>
    <col min="8225" max="8225" width="17" style="205" customWidth="1"/>
    <col min="8226" max="8226" width="0" style="205" hidden="1"/>
    <col min="8227" max="8228" width="15.5546875" style="205" customWidth="1"/>
    <col min="8229" max="8229" width="13.6640625" style="205" customWidth="1"/>
    <col min="8230" max="8230" width="9" style="205" customWidth="1"/>
    <col min="8231" max="8231" width="49.88671875" style="205" customWidth="1"/>
    <col min="8232" max="8232" width="0" style="205" hidden="1"/>
    <col min="8233" max="8234" width="15.88671875" style="205" customWidth="1"/>
    <col min="8235" max="8235" width="14.5546875" style="205" customWidth="1"/>
    <col min="8236" max="8236" width="16.33203125" style="205" customWidth="1"/>
    <col min="8237" max="8237" width="18.109375" style="205" customWidth="1"/>
    <col min="8238" max="8238" width="14.109375" style="205" customWidth="1"/>
    <col min="8239" max="8465" width="0" style="205" hidden="1"/>
    <col min="8466" max="8466" width="7.5546875" style="205" customWidth="1"/>
    <col min="8467" max="8467" width="36.77734375" style="205" customWidth="1"/>
    <col min="8468" max="8469" width="0" style="205" hidden="1"/>
    <col min="8470" max="8470" width="16.6640625" style="205" customWidth="1"/>
    <col min="8471" max="8471" width="17.33203125" style="205" customWidth="1"/>
    <col min="8472" max="8472" width="15.5546875" style="205" customWidth="1"/>
    <col min="8473" max="8473" width="0" style="205" hidden="1"/>
    <col min="8474" max="8474" width="16.6640625" style="205" customWidth="1"/>
    <col min="8475" max="8475" width="17.44140625" style="205" customWidth="1"/>
    <col min="8476" max="8477" width="0" style="205" hidden="1"/>
    <col min="8478" max="8480" width="15.33203125" style="205" customWidth="1"/>
    <col min="8481" max="8481" width="17" style="205" customWidth="1"/>
    <col min="8482" max="8482" width="0" style="205" hidden="1"/>
    <col min="8483" max="8484" width="15.5546875" style="205" customWidth="1"/>
    <col min="8485" max="8485" width="13.6640625" style="205" customWidth="1"/>
    <col min="8486" max="8486" width="9" style="205" customWidth="1"/>
    <col min="8487" max="8487" width="49.88671875" style="205" customWidth="1"/>
    <col min="8488" max="8488" width="0" style="205" hidden="1"/>
    <col min="8489" max="8490" width="15.88671875" style="205" customWidth="1"/>
    <col min="8491" max="8491" width="14.5546875" style="205" customWidth="1"/>
    <col min="8492" max="8492" width="16.33203125" style="205" customWidth="1"/>
    <col min="8493" max="8493" width="18.109375" style="205" customWidth="1"/>
    <col min="8494" max="8494" width="14.109375" style="205" customWidth="1"/>
    <col min="8495" max="8721" width="0" style="205" hidden="1"/>
    <col min="8722" max="8722" width="7.5546875" style="205" customWidth="1"/>
    <col min="8723" max="8723" width="36.77734375" style="205" customWidth="1"/>
    <col min="8724" max="8725" width="0" style="205" hidden="1"/>
    <col min="8726" max="8726" width="16.6640625" style="205" customWidth="1"/>
    <col min="8727" max="8727" width="17.33203125" style="205" customWidth="1"/>
    <col min="8728" max="8728" width="15.5546875" style="205" customWidth="1"/>
    <col min="8729" max="8729" width="0" style="205" hidden="1"/>
    <col min="8730" max="8730" width="16.6640625" style="205" customWidth="1"/>
    <col min="8731" max="8731" width="17.44140625" style="205" customWidth="1"/>
    <col min="8732" max="8733" width="0" style="205" hidden="1"/>
    <col min="8734" max="8736" width="15.33203125" style="205" customWidth="1"/>
    <col min="8737" max="8737" width="17" style="205" customWidth="1"/>
    <col min="8738" max="8738" width="0" style="205" hidden="1"/>
    <col min="8739" max="8740" width="15.5546875" style="205" customWidth="1"/>
    <col min="8741" max="8741" width="13.6640625" style="205" customWidth="1"/>
    <col min="8742" max="8742" width="9" style="205" customWidth="1"/>
    <col min="8743" max="8743" width="49.88671875" style="205" customWidth="1"/>
    <col min="8744" max="8744" width="0" style="205" hidden="1"/>
    <col min="8745" max="8746" width="15.88671875" style="205" customWidth="1"/>
    <col min="8747" max="8747" width="14.5546875" style="205" customWidth="1"/>
    <col min="8748" max="8748" width="16.33203125" style="205" customWidth="1"/>
    <col min="8749" max="8749" width="18.109375" style="205" customWidth="1"/>
    <col min="8750" max="8750" width="14.109375" style="205" customWidth="1"/>
    <col min="8751" max="8977" width="0" style="205" hidden="1"/>
    <col min="8978" max="8978" width="7.5546875" style="205" customWidth="1"/>
    <col min="8979" max="8979" width="36.77734375" style="205" customWidth="1"/>
    <col min="8980" max="8981" width="0" style="205" hidden="1"/>
    <col min="8982" max="8982" width="16.6640625" style="205" customWidth="1"/>
    <col min="8983" max="8983" width="17.33203125" style="205" customWidth="1"/>
    <col min="8984" max="8984" width="15.5546875" style="205" customWidth="1"/>
    <col min="8985" max="8985" width="0" style="205" hidden="1"/>
    <col min="8986" max="8986" width="16.6640625" style="205" customWidth="1"/>
    <col min="8987" max="8987" width="17.44140625" style="205" customWidth="1"/>
    <col min="8988" max="8989" width="0" style="205" hidden="1"/>
    <col min="8990" max="8992" width="15.33203125" style="205" customWidth="1"/>
    <col min="8993" max="8993" width="17" style="205" customWidth="1"/>
    <col min="8994" max="8994" width="0" style="205" hidden="1"/>
    <col min="8995" max="8996" width="15.5546875" style="205" customWidth="1"/>
    <col min="8997" max="8997" width="13.6640625" style="205" customWidth="1"/>
    <col min="8998" max="8998" width="9" style="205" customWidth="1"/>
    <col min="8999" max="8999" width="49.88671875" style="205" customWidth="1"/>
    <col min="9000" max="9000" width="0" style="205" hidden="1"/>
    <col min="9001" max="9002" width="15.88671875" style="205" customWidth="1"/>
    <col min="9003" max="9003" width="14.5546875" style="205" customWidth="1"/>
    <col min="9004" max="9004" width="16.33203125" style="205" customWidth="1"/>
    <col min="9005" max="9005" width="18.109375" style="205" customWidth="1"/>
    <col min="9006" max="9006" width="14.109375" style="205" customWidth="1"/>
    <col min="9007" max="9233" width="0" style="205" hidden="1"/>
    <col min="9234" max="9234" width="7.5546875" style="205" customWidth="1"/>
    <col min="9235" max="9235" width="36.77734375" style="205" customWidth="1"/>
    <col min="9236" max="9237" width="0" style="205" hidden="1"/>
    <col min="9238" max="9238" width="16.6640625" style="205" customWidth="1"/>
    <col min="9239" max="9239" width="17.33203125" style="205" customWidth="1"/>
    <col min="9240" max="9240" width="15.5546875" style="205" customWidth="1"/>
    <col min="9241" max="9241" width="0" style="205" hidden="1"/>
    <col min="9242" max="9242" width="16.6640625" style="205" customWidth="1"/>
    <col min="9243" max="9243" width="17.44140625" style="205" customWidth="1"/>
    <col min="9244" max="9245" width="0" style="205" hidden="1"/>
    <col min="9246" max="9248" width="15.33203125" style="205" customWidth="1"/>
    <col min="9249" max="9249" width="17" style="205" customWidth="1"/>
    <col min="9250" max="9250" width="0" style="205" hidden="1"/>
    <col min="9251" max="9252" width="15.5546875" style="205" customWidth="1"/>
    <col min="9253" max="9253" width="13.6640625" style="205" customWidth="1"/>
    <col min="9254" max="9254" width="9" style="205" customWidth="1"/>
    <col min="9255" max="9255" width="49.88671875" style="205" customWidth="1"/>
    <col min="9256" max="9256" width="0" style="205" hidden="1"/>
    <col min="9257" max="9258" width="15.88671875" style="205" customWidth="1"/>
    <col min="9259" max="9259" width="14.5546875" style="205" customWidth="1"/>
    <col min="9260" max="9260" width="16.33203125" style="205" customWidth="1"/>
    <col min="9261" max="9261" width="18.109375" style="205" customWidth="1"/>
    <col min="9262" max="9262" width="14.109375" style="205" customWidth="1"/>
    <col min="9263" max="9489" width="0" style="205" hidden="1"/>
    <col min="9490" max="9490" width="7.5546875" style="205" customWidth="1"/>
    <col min="9491" max="9491" width="36.77734375" style="205" customWidth="1"/>
    <col min="9492" max="9493" width="0" style="205" hidden="1"/>
    <col min="9494" max="9494" width="16.6640625" style="205" customWidth="1"/>
    <col min="9495" max="9495" width="17.33203125" style="205" customWidth="1"/>
    <col min="9496" max="9496" width="15.5546875" style="205" customWidth="1"/>
    <col min="9497" max="9497" width="0" style="205" hidden="1"/>
    <col min="9498" max="9498" width="16.6640625" style="205" customWidth="1"/>
    <col min="9499" max="9499" width="17.44140625" style="205" customWidth="1"/>
    <col min="9500" max="9501" width="0" style="205" hidden="1"/>
    <col min="9502" max="9504" width="15.33203125" style="205" customWidth="1"/>
    <col min="9505" max="9505" width="17" style="205" customWidth="1"/>
    <col min="9506" max="9506" width="0" style="205" hidden="1"/>
    <col min="9507" max="9508" width="15.5546875" style="205" customWidth="1"/>
    <col min="9509" max="9509" width="13.6640625" style="205" customWidth="1"/>
    <col min="9510" max="9510" width="9" style="205" customWidth="1"/>
    <col min="9511" max="9511" width="49.88671875" style="205" customWidth="1"/>
    <col min="9512" max="9512" width="0" style="205" hidden="1"/>
    <col min="9513" max="9514" width="15.88671875" style="205" customWidth="1"/>
    <col min="9515" max="9515" width="14.5546875" style="205" customWidth="1"/>
    <col min="9516" max="9516" width="16.33203125" style="205" customWidth="1"/>
    <col min="9517" max="9517" width="18.109375" style="205" customWidth="1"/>
    <col min="9518" max="9518" width="14.109375" style="205" customWidth="1"/>
    <col min="9519" max="9745" width="0" style="205" hidden="1"/>
    <col min="9746" max="9746" width="7.5546875" style="205" customWidth="1"/>
    <col min="9747" max="9747" width="36.77734375" style="205" customWidth="1"/>
    <col min="9748" max="9749" width="0" style="205" hidden="1"/>
    <col min="9750" max="9750" width="16.6640625" style="205" customWidth="1"/>
    <col min="9751" max="9751" width="17.33203125" style="205" customWidth="1"/>
    <col min="9752" max="9752" width="15.5546875" style="205" customWidth="1"/>
    <col min="9753" max="9753" width="0" style="205" hidden="1"/>
    <col min="9754" max="9754" width="16.6640625" style="205" customWidth="1"/>
    <col min="9755" max="9755" width="17.44140625" style="205" customWidth="1"/>
    <col min="9756" max="9757" width="0" style="205" hidden="1"/>
    <col min="9758" max="9760" width="15.33203125" style="205" customWidth="1"/>
    <col min="9761" max="9761" width="17" style="205" customWidth="1"/>
    <col min="9762" max="9762" width="0" style="205" hidden="1"/>
    <col min="9763" max="9764" width="15.5546875" style="205" customWidth="1"/>
    <col min="9765" max="9765" width="13.6640625" style="205" customWidth="1"/>
    <col min="9766" max="9766" width="9" style="205" customWidth="1"/>
    <col min="9767" max="9767" width="49.88671875" style="205" customWidth="1"/>
    <col min="9768" max="9768" width="0" style="205" hidden="1"/>
    <col min="9769" max="9770" width="15.88671875" style="205" customWidth="1"/>
    <col min="9771" max="9771" width="14.5546875" style="205" customWidth="1"/>
    <col min="9772" max="9772" width="16.33203125" style="205" customWidth="1"/>
    <col min="9773" max="9773" width="18.109375" style="205" customWidth="1"/>
    <col min="9774" max="9774" width="14.109375" style="205" customWidth="1"/>
    <col min="9775" max="10001" width="0" style="205" hidden="1"/>
    <col min="10002" max="10002" width="7.5546875" style="205" customWidth="1"/>
    <col min="10003" max="10003" width="36.77734375" style="205" customWidth="1"/>
    <col min="10004" max="10005" width="0" style="205" hidden="1"/>
    <col min="10006" max="10006" width="16.6640625" style="205" customWidth="1"/>
    <col min="10007" max="10007" width="17.33203125" style="205" customWidth="1"/>
    <col min="10008" max="10008" width="15.5546875" style="205" customWidth="1"/>
    <col min="10009" max="10009" width="0" style="205" hidden="1"/>
    <col min="10010" max="10010" width="16.6640625" style="205" customWidth="1"/>
    <col min="10011" max="10011" width="17.44140625" style="205" customWidth="1"/>
    <col min="10012" max="10013" width="0" style="205" hidden="1"/>
    <col min="10014" max="10016" width="15.33203125" style="205" customWidth="1"/>
    <col min="10017" max="10017" width="17" style="205" customWidth="1"/>
    <col min="10018" max="10018" width="0" style="205" hidden="1"/>
    <col min="10019" max="10020" width="15.5546875" style="205" customWidth="1"/>
    <col min="10021" max="10021" width="13.6640625" style="205" customWidth="1"/>
    <col min="10022" max="10022" width="9" style="205" customWidth="1"/>
    <col min="10023" max="10023" width="49.88671875" style="205" customWidth="1"/>
    <col min="10024" max="10024" width="0" style="205" hidden="1"/>
    <col min="10025" max="10026" width="15.88671875" style="205" customWidth="1"/>
    <col min="10027" max="10027" width="14.5546875" style="205" customWidth="1"/>
    <col min="10028" max="10028" width="16.33203125" style="205" customWidth="1"/>
    <col min="10029" max="10029" width="18.109375" style="205" customWidth="1"/>
    <col min="10030" max="10030" width="14.109375" style="205" customWidth="1"/>
    <col min="10031" max="10257" width="0" style="205" hidden="1"/>
    <col min="10258" max="10258" width="7.5546875" style="205" customWidth="1"/>
    <col min="10259" max="10259" width="36.77734375" style="205" customWidth="1"/>
    <col min="10260" max="10261" width="0" style="205" hidden="1"/>
    <col min="10262" max="10262" width="16.6640625" style="205" customWidth="1"/>
    <col min="10263" max="10263" width="17.33203125" style="205" customWidth="1"/>
    <col min="10264" max="10264" width="15.5546875" style="205" customWidth="1"/>
    <col min="10265" max="10265" width="0" style="205" hidden="1"/>
    <col min="10266" max="10266" width="16.6640625" style="205" customWidth="1"/>
    <col min="10267" max="10267" width="17.44140625" style="205" customWidth="1"/>
    <col min="10268" max="10269" width="0" style="205" hidden="1"/>
    <col min="10270" max="10272" width="15.33203125" style="205" customWidth="1"/>
    <col min="10273" max="10273" width="17" style="205" customWidth="1"/>
    <col min="10274" max="10274" width="0" style="205" hidden="1"/>
    <col min="10275" max="10276" width="15.5546875" style="205" customWidth="1"/>
    <col min="10277" max="10277" width="13.6640625" style="205" customWidth="1"/>
    <col min="10278" max="10278" width="9" style="205" customWidth="1"/>
    <col min="10279" max="10279" width="49.88671875" style="205" customWidth="1"/>
    <col min="10280" max="10280" width="0" style="205" hidden="1"/>
    <col min="10281" max="10282" width="15.88671875" style="205" customWidth="1"/>
    <col min="10283" max="10283" width="14.5546875" style="205" customWidth="1"/>
    <col min="10284" max="10284" width="16.33203125" style="205" customWidth="1"/>
    <col min="10285" max="10285" width="18.109375" style="205" customWidth="1"/>
    <col min="10286" max="10286" width="14.109375" style="205" customWidth="1"/>
    <col min="10287" max="10513" width="0" style="205" hidden="1"/>
    <col min="10514" max="10514" width="7.5546875" style="205" customWidth="1"/>
    <col min="10515" max="10515" width="36.77734375" style="205" customWidth="1"/>
    <col min="10516" max="10517" width="0" style="205" hidden="1"/>
    <col min="10518" max="10518" width="16.6640625" style="205" customWidth="1"/>
    <col min="10519" max="10519" width="17.33203125" style="205" customWidth="1"/>
    <col min="10520" max="10520" width="15.5546875" style="205" customWidth="1"/>
    <col min="10521" max="10521" width="0" style="205" hidden="1"/>
    <col min="10522" max="10522" width="16.6640625" style="205" customWidth="1"/>
    <col min="10523" max="10523" width="17.44140625" style="205" customWidth="1"/>
    <col min="10524" max="10525" width="0" style="205" hidden="1"/>
    <col min="10526" max="10528" width="15.33203125" style="205" customWidth="1"/>
    <col min="10529" max="10529" width="17" style="205" customWidth="1"/>
    <col min="10530" max="10530" width="0" style="205" hidden="1"/>
    <col min="10531" max="10532" width="15.5546875" style="205" customWidth="1"/>
    <col min="10533" max="10533" width="13.6640625" style="205" customWidth="1"/>
    <col min="10534" max="10534" width="9" style="205" customWidth="1"/>
    <col min="10535" max="10535" width="49.88671875" style="205" customWidth="1"/>
    <col min="10536" max="10536" width="0" style="205" hidden="1"/>
    <col min="10537" max="10538" width="15.88671875" style="205" customWidth="1"/>
    <col min="10539" max="10539" width="14.5546875" style="205" customWidth="1"/>
    <col min="10540" max="10540" width="16.33203125" style="205" customWidth="1"/>
    <col min="10541" max="10541" width="18.109375" style="205" customWidth="1"/>
    <col min="10542" max="10542" width="14.109375" style="205" customWidth="1"/>
    <col min="10543" max="10769" width="0" style="205" hidden="1"/>
    <col min="10770" max="10770" width="7.5546875" style="205" customWidth="1"/>
    <col min="10771" max="10771" width="36.77734375" style="205" customWidth="1"/>
    <col min="10772" max="10773" width="0" style="205" hidden="1"/>
    <col min="10774" max="10774" width="16.6640625" style="205" customWidth="1"/>
    <col min="10775" max="10775" width="17.33203125" style="205" customWidth="1"/>
    <col min="10776" max="10776" width="15.5546875" style="205" customWidth="1"/>
    <col min="10777" max="10777" width="0" style="205" hidden="1"/>
    <col min="10778" max="10778" width="16.6640625" style="205" customWidth="1"/>
    <col min="10779" max="10779" width="17.44140625" style="205" customWidth="1"/>
    <col min="10780" max="10781" width="0" style="205" hidden="1"/>
    <col min="10782" max="10784" width="15.33203125" style="205" customWidth="1"/>
    <col min="10785" max="10785" width="17" style="205" customWidth="1"/>
    <col min="10786" max="10786" width="0" style="205" hidden="1"/>
    <col min="10787" max="10788" width="15.5546875" style="205" customWidth="1"/>
    <col min="10789" max="10789" width="13.6640625" style="205" customWidth="1"/>
    <col min="10790" max="10790" width="9" style="205" customWidth="1"/>
    <col min="10791" max="10791" width="49.88671875" style="205" customWidth="1"/>
    <col min="10792" max="10792" width="0" style="205" hidden="1"/>
    <col min="10793" max="10794" width="15.88671875" style="205" customWidth="1"/>
    <col min="10795" max="10795" width="14.5546875" style="205" customWidth="1"/>
    <col min="10796" max="10796" width="16.33203125" style="205" customWidth="1"/>
    <col min="10797" max="10797" width="18.109375" style="205" customWidth="1"/>
    <col min="10798" max="10798" width="14.109375" style="205" customWidth="1"/>
    <col min="10799" max="11025" width="0" style="205" hidden="1"/>
    <col min="11026" max="11026" width="7.5546875" style="205" customWidth="1"/>
    <col min="11027" max="11027" width="36.77734375" style="205" customWidth="1"/>
    <col min="11028" max="11029" width="0" style="205" hidden="1"/>
    <col min="11030" max="11030" width="16.6640625" style="205" customWidth="1"/>
    <col min="11031" max="11031" width="17.33203125" style="205" customWidth="1"/>
    <col min="11032" max="11032" width="15.5546875" style="205" customWidth="1"/>
    <col min="11033" max="11033" width="0" style="205" hidden="1"/>
    <col min="11034" max="11034" width="16.6640625" style="205" customWidth="1"/>
    <col min="11035" max="11035" width="17.44140625" style="205" customWidth="1"/>
    <col min="11036" max="11037" width="0" style="205" hidden="1"/>
    <col min="11038" max="11040" width="15.33203125" style="205" customWidth="1"/>
    <col min="11041" max="11041" width="17" style="205" customWidth="1"/>
    <col min="11042" max="11042" width="0" style="205" hidden="1"/>
    <col min="11043" max="11044" width="15.5546875" style="205" customWidth="1"/>
    <col min="11045" max="11045" width="13.6640625" style="205" customWidth="1"/>
    <col min="11046" max="11046" width="9" style="205" customWidth="1"/>
    <col min="11047" max="11047" width="49.88671875" style="205" customWidth="1"/>
    <col min="11048" max="11048" width="0" style="205" hidden="1"/>
    <col min="11049" max="11050" width="15.88671875" style="205" customWidth="1"/>
    <col min="11051" max="11051" width="14.5546875" style="205" customWidth="1"/>
    <col min="11052" max="11052" width="16.33203125" style="205" customWidth="1"/>
    <col min="11053" max="11053" width="18.109375" style="205" customWidth="1"/>
    <col min="11054" max="11054" width="14.109375" style="205" customWidth="1"/>
    <col min="11055" max="11281" width="0" style="205" hidden="1"/>
    <col min="11282" max="11282" width="7.5546875" style="205" customWidth="1"/>
    <col min="11283" max="11283" width="36.77734375" style="205" customWidth="1"/>
    <col min="11284" max="11285" width="0" style="205" hidden="1"/>
    <col min="11286" max="11286" width="16.6640625" style="205" customWidth="1"/>
    <col min="11287" max="11287" width="17.33203125" style="205" customWidth="1"/>
    <col min="11288" max="11288" width="15.5546875" style="205" customWidth="1"/>
    <col min="11289" max="11289" width="0" style="205" hidden="1"/>
    <col min="11290" max="11290" width="16.6640625" style="205" customWidth="1"/>
    <col min="11291" max="11291" width="17.44140625" style="205" customWidth="1"/>
    <col min="11292" max="11293" width="0" style="205" hidden="1"/>
    <col min="11294" max="11296" width="15.33203125" style="205" customWidth="1"/>
    <col min="11297" max="11297" width="17" style="205" customWidth="1"/>
    <col min="11298" max="11298" width="0" style="205" hidden="1"/>
    <col min="11299" max="11300" width="15.5546875" style="205" customWidth="1"/>
    <col min="11301" max="11301" width="13.6640625" style="205" customWidth="1"/>
    <col min="11302" max="11302" width="9" style="205" customWidth="1"/>
    <col min="11303" max="11303" width="49.88671875" style="205" customWidth="1"/>
    <col min="11304" max="11304" width="0" style="205" hidden="1"/>
    <col min="11305" max="11306" width="15.88671875" style="205" customWidth="1"/>
    <col min="11307" max="11307" width="14.5546875" style="205" customWidth="1"/>
    <col min="11308" max="11308" width="16.33203125" style="205" customWidth="1"/>
    <col min="11309" max="11309" width="18.109375" style="205" customWidth="1"/>
    <col min="11310" max="11310" width="14.109375" style="205" customWidth="1"/>
    <col min="11311" max="11537" width="0" style="205" hidden="1"/>
    <col min="11538" max="11538" width="7.5546875" style="205" customWidth="1"/>
    <col min="11539" max="11539" width="36.77734375" style="205" customWidth="1"/>
    <col min="11540" max="11541" width="0" style="205" hidden="1"/>
    <col min="11542" max="11542" width="16.6640625" style="205" customWidth="1"/>
    <col min="11543" max="11543" width="17.33203125" style="205" customWidth="1"/>
    <col min="11544" max="11544" width="15.5546875" style="205" customWidth="1"/>
    <col min="11545" max="11545" width="0" style="205" hidden="1"/>
    <col min="11546" max="11546" width="16.6640625" style="205" customWidth="1"/>
    <col min="11547" max="11547" width="17.44140625" style="205" customWidth="1"/>
    <col min="11548" max="11549" width="0" style="205" hidden="1"/>
    <col min="11550" max="11552" width="15.33203125" style="205" customWidth="1"/>
    <col min="11553" max="11553" width="17" style="205" customWidth="1"/>
    <col min="11554" max="11554" width="0" style="205" hidden="1"/>
    <col min="11555" max="11556" width="15.5546875" style="205" customWidth="1"/>
    <col min="11557" max="11557" width="13.6640625" style="205" customWidth="1"/>
    <col min="11558" max="11558" width="9" style="205" customWidth="1"/>
    <col min="11559" max="11559" width="49.88671875" style="205" customWidth="1"/>
    <col min="11560" max="11560" width="0" style="205" hidden="1"/>
    <col min="11561" max="11562" width="15.88671875" style="205" customWidth="1"/>
    <col min="11563" max="11563" width="14.5546875" style="205" customWidth="1"/>
    <col min="11564" max="11564" width="16.33203125" style="205" customWidth="1"/>
    <col min="11565" max="11565" width="18.109375" style="205" customWidth="1"/>
    <col min="11566" max="11566" width="14.109375" style="205" customWidth="1"/>
    <col min="11567" max="11793" width="0" style="205" hidden="1"/>
    <col min="11794" max="11794" width="7.5546875" style="205" customWidth="1"/>
    <col min="11795" max="11795" width="36.77734375" style="205" customWidth="1"/>
    <col min="11796" max="11797" width="0" style="205" hidden="1"/>
    <col min="11798" max="11798" width="16.6640625" style="205" customWidth="1"/>
    <col min="11799" max="11799" width="17.33203125" style="205" customWidth="1"/>
    <col min="11800" max="11800" width="15.5546875" style="205" customWidth="1"/>
    <col min="11801" max="11801" width="0" style="205" hidden="1"/>
    <col min="11802" max="11802" width="16.6640625" style="205" customWidth="1"/>
    <col min="11803" max="11803" width="17.44140625" style="205" customWidth="1"/>
    <col min="11804" max="11805" width="0" style="205" hidden="1"/>
    <col min="11806" max="11808" width="15.33203125" style="205" customWidth="1"/>
    <col min="11809" max="11809" width="17" style="205" customWidth="1"/>
    <col min="11810" max="11810" width="0" style="205" hidden="1"/>
    <col min="11811" max="11812" width="15.5546875" style="205" customWidth="1"/>
    <col min="11813" max="11813" width="13.6640625" style="205" customWidth="1"/>
    <col min="11814" max="11814" width="9" style="205" customWidth="1"/>
    <col min="11815" max="11815" width="49.88671875" style="205" customWidth="1"/>
    <col min="11816" max="11816" width="0" style="205" hidden="1"/>
    <col min="11817" max="11818" width="15.88671875" style="205" customWidth="1"/>
    <col min="11819" max="11819" width="14.5546875" style="205" customWidth="1"/>
    <col min="11820" max="11820" width="16.33203125" style="205" customWidth="1"/>
    <col min="11821" max="11821" width="18.109375" style="205" customWidth="1"/>
    <col min="11822" max="11822" width="14.109375" style="205" customWidth="1"/>
    <col min="11823" max="12049" width="0" style="205" hidden="1"/>
    <col min="12050" max="12050" width="7.5546875" style="205" customWidth="1"/>
    <col min="12051" max="12051" width="36.77734375" style="205" customWidth="1"/>
    <col min="12052" max="12053" width="0" style="205" hidden="1"/>
    <col min="12054" max="12054" width="16.6640625" style="205" customWidth="1"/>
    <col min="12055" max="12055" width="17.33203125" style="205" customWidth="1"/>
    <col min="12056" max="12056" width="15.5546875" style="205" customWidth="1"/>
    <col min="12057" max="12057" width="0" style="205" hidden="1"/>
    <col min="12058" max="12058" width="16.6640625" style="205" customWidth="1"/>
    <col min="12059" max="12059" width="17.44140625" style="205" customWidth="1"/>
    <col min="12060" max="12061" width="0" style="205" hidden="1"/>
    <col min="12062" max="12064" width="15.33203125" style="205" customWidth="1"/>
    <col min="12065" max="12065" width="17" style="205" customWidth="1"/>
    <col min="12066" max="12066" width="0" style="205" hidden="1"/>
    <col min="12067" max="12068" width="15.5546875" style="205" customWidth="1"/>
    <col min="12069" max="12069" width="13.6640625" style="205" customWidth="1"/>
    <col min="12070" max="12070" width="9" style="205" customWidth="1"/>
    <col min="12071" max="12071" width="49.88671875" style="205" customWidth="1"/>
    <col min="12072" max="12072" width="0" style="205" hidden="1"/>
    <col min="12073" max="12074" width="15.88671875" style="205" customWidth="1"/>
    <col min="12075" max="12075" width="14.5546875" style="205" customWidth="1"/>
    <col min="12076" max="12076" width="16.33203125" style="205" customWidth="1"/>
    <col min="12077" max="12077" width="18.109375" style="205" customWidth="1"/>
    <col min="12078" max="12078" width="14.109375" style="205" customWidth="1"/>
    <col min="12079" max="12305" width="0" style="205" hidden="1"/>
    <col min="12306" max="12306" width="7.5546875" style="205" customWidth="1"/>
    <col min="12307" max="12307" width="36.77734375" style="205" customWidth="1"/>
    <col min="12308" max="12309" width="0" style="205" hidden="1"/>
    <col min="12310" max="12310" width="16.6640625" style="205" customWidth="1"/>
    <col min="12311" max="12311" width="17.33203125" style="205" customWidth="1"/>
    <col min="12312" max="12312" width="15.5546875" style="205" customWidth="1"/>
    <col min="12313" max="12313" width="0" style="205" hidden="1"/>
    <col min="12314" max="12314" width="16.6640625" style="205" customWidth="1"/>
    <col min="12315" max="12315" width="17.44140625" style="205" customWidth="1"/>
    <col min="12316" max="12317" width="0" style="205" hidden="1"/>
    <col min="12318" max="12320" width="15.33203125" style="205" customWidth="1"/>
    <col min="12321" max="12321" width="17" style="205" customWidth="1"/>
    <col min="12322" max="12322" width="0" style="205" hidden="1"/>
    <col min="12323" max="12324" width="15.5546875" style="205" customWidth="1"/>
    <col min="12325" max="12325" width="13.6640625" style="205" customWidth="1"/>
    <col min="12326" max="12326" width="9" style="205" customWidth="1"/>
    <col min="12327" max="12327" width="49.88671875" style="205" customWidth="1"/>
    <col min="12328" max="12328" width="0" style="205" hidden="1"/>
    <col min="12329" max="12330" width="15.88671875" style="205" customWidth="1"/>
    <col min="12331" max="12331" width="14.5546875" style="205" customWidth="1"/>
    <col min="12332" max="12332" width="16.33203125" style="205" customWidth="1"/>
    <col min="12333" max="12333" width="18.109375" style="205" customWidth="1"/>
    <col min="12334" max="12334" width="14.109375" style="205" customWidth="1"/>
    <col min="12335" max="12561" width="0" style="205" hidden="1"/>
    <col min="12562" max="12562" width="7.5546875" style="205" customWidth="1"/>
    <col min="12563" max="12563" width="36.77734375" style="205" customWidth="1"/>
    <col min="12564" max="12565" width="0" style="205" hidden="1"/>
    <col min="12566" max="12566" width="16.6640625" style="205" customWidth="1"/>
    <col min="12567" max="12567" width="17.33203125" style="205" customWidth="1"/>
    <col min="12568" max="12568" width="15.5546875" style="205" customWidth="1"/>
    <col min="12569" max="12569" width="0" style="205" hidden="1"/>
    <col min="12570" max="12570" width="16.6640625" style="205" customWidth="1"/>
    <col min="12571" max="12571" width="17.44140625" style="205" customWidth="1"/>
    <col min="12572" max="12573" width="0" style="205" hidden="1"/>
    <col min="12574" max="12576" width="15.33203125" style="205" customWidth="1"/>
    <col min="12577" max="12577" width="17" style="205" customWidth="1"/>
    <col min="12578" max="12578" width="0" style="205" hidden="1"/>
    <col min="12579" max="12580" width="15.5546875" style="205" customWidth="1"/>
    <col min="12581" max="12581" width="13.6640625" style="205" customWidth="1"/>
    <col min="12582" max="12582" width="9" style="205" customWidth="1"/>
    <col min="12583" max="12583" width="49.88671875" style="205" customWidth="1"/>
    <col min="12584" max="12584" width="0" style="205" hidden="1"/>
    <col min="12585" max="12586" width="15.88671875" style="205" customWidth="1"/>
    <col min="12587" max="12587" width="14.5546875" style="205" customWidth="1"/>
    <col min="12588" max="12588" width="16.33203125" style="205" customWidth="1"/>
    <col min="12589" max="12589" width="18.109375" style="205" customWidth="1"/>
    <col min="12590" max="12590" width="14.109375" style="205" customWidth="1"/>
    <col min="12591" max="12817" width="0" style="205" hidden="1"/>
    <col min="12818" max="12818" width="7.5546875" style="205" customWidth="1"/>
    <col min="12819" max="12819" width="36.77734375" style="205" customWidth="1"/>
    <col min="12820" max="12821" width="0" style="205" hidden="1"/>
    <col min="12822" max="12822" width="16.6640625" style="205" customWidth="1"/>
    <col min="12823" max="12823" width="17.33203125" style="205" customWidth="1"/>
    <col min="12824" max="12824" width="15.5546875" style="205" customWidth="1"/>
    <col min="12825" max="12825" width="0" style="205" hidden="1"/>
    <col min="12826" max="12826" width="16.6640625" style="205" customWidth="1"/>
    <col min="12827" max="12827" width="17.44140625" style="205" customWidth="1"/>
    <col min="12828" max="12829" width="0" style="205" hidden="1"/>
    <col min="12830" max="12832" width="15.33203125" style="205" customWidth="1"/>
    <col min="12833" max="12833" width="17" style="205" customWidth="1"/>
    <col min="12834" max="12834" width="0" style="205" hidden="1"/>
    <col min="12835" max="12836" width="15.5546875" style="205" customWidth="1"/>
    <col min="12837" max="12837" width="13.6640625" style="205" customWidth="1"/>
    <col min="12838" max="12838" width="9" style="205" customWidth="1"/>
    <col min="12839" max="12839" width="49.88671875" style="205" customWidth="1"/>
    <col min="12840" max="12840" width="0" style="205" hidden="1"/>
    <col min="12841" max="12842" width="15.88671875" style="205" customWidth="1"/>
    <col min="12843" max="12843" width="14.5546875" style="205" customWidth="1"/>
    <col min="12844" max="12844" width="16.33203125" style="205" customWidth="1"/>
    <col min="12845" max="12845" width="18.109375" style="205" customWidth="1"/>
    <col min="12846" max="12846" width="14.109375" style="205" customWidth="1"/>
    <col min="12847" max="13073" width="0" style="205" hidden="1"/>
    <col min="13074" max="13074" width="7.5546875" style="205" customWidth="1"/>
    <col min="13075" max="13075" width="36.77734375" style="205" customWidth="1"/>
    <col min="13076" max="13077" width="0" style="205" hidden="1"/>
    <col min="13078" max="13078" width="16.6640625" style="205" customWidth="1"/>
    <col min="13079" max="13079" width="17.33203125" style="205" customWidth="1"/>
    <col min="13080" max="13080" width="15.5546875" style="205" customWidth="1"/>
    <col min="13081" max="13081" width="0" style="205" hidden="1"/>
    <col min="13082" max="13082" width="16.6640625" style="205" customWidth="1"/>
    <col min="13083" max="13083" width="17.44140625" style="205" customWidth="1"/>
    <col min="13084" max="13085" width="0" style="205" hidden="1"/>
    <col min="13086" max="13088" width="15.33203125" style="205" customWidth="1"/>
    <col min="13089" max="13089" width="17" style="205" customWidth="1"/>
    <col min="13090" max="13090" width="0" style="205" hidden="1"/>
    <col min="13091" max="13092" width="15.5546875" style="205" customWidth="1"/>
    <col min="13093" max="13093" width="13.6640625" style="205" customWidth="1"/>
    <col min="13094" max="13094" width="9" style="205" customWidth="1"/>
    <col min="13095" max="13095" width="49.88671875" style="205" customWidth="1"/>
    <col min="13096" max="13096" width="0" style="205" hidden="1"/>
    <col min="13097" max="13098" width="15.88671875" style="205" customWidth="1"/>
    <col min="13099" max="13099" width="14.5546875" style="205" customWidth="1"/>
    <col min="13100" max="13100" width="16.33203125" style="205" customWidth="1"/>
    <col min="13101" max="13101" width="18.109375" style="205" customWidth="1"/>
    <col min="13102" max="13102" width="14.109375" style="205" customWidth="1"/>
    <col min="13103" max="13329" width="0" style="205" hidden="1"/>
    <col min="13330" max="13330" width="7.5546875" style="205" customWidth="1"/>
    <col min="13331" max="13331" width="36.77734375" style="205" customWidth="1"/>
    <col min="13332" max="13333" width="0" style="205" hidden="1"/>
    <col min="13334" max="13334" width="16.6640625" style="205" customWidth="1"/>
    <col min="13335" max="13335" width="17.33203125" style="205" customWidth="1"/>
    <col min="13336" max="13336" width="15.5546875" style="205" customWidth="1"/>
    <col min="13337" max="13337" width="0" style="205" hidden="1"/>
    <col min="13338" max="13338" width="16.6640625" style="205" customWidth="1"/>
    <col min="13339" max="13339" width="17.44140625" style="205" customWidth="1"/>
    <col min="13340" max="13341" width="0" style="205" hidden="1"/>
    <col min="13342" max="13344" width="15.33203125" style="205" customWidth="1"/>
    <col min="13345" max="13345" width="17" style="205" customWidth="1"/>
    <col min="13346" max="13346" width="0" style="205" hidden="1"/>
    <col min="13347" max="13348" width="15.5546875" style="205" customWidth="1"/>
    <col min="13349" max="13349" width="13.6640625" style="205" customWidth="1"/>
    <col min="13350" max="13350" width="9" style="205" customWidth="1"/>
    <col min="13351" max="13351" width="49.88671875" style="205" customWidth="1"/>
    <col min="13352" max="13352" width="0" style="205" hidden="1"/>
    <col min="13353" max="13354" width="15.88671875" style="205" customWidth="1"/>
    <col min="13355" max="13355" width="14.5546875" style="205" customWidth="1"/>
    <col min="13356" max="13356" width="16.33203125" style="205" customWidth="1"/>
    <col min="13357" max="13357" width="18.109375" style="205" customWidth="1"/>
    <col min="13358" max="13358" width="14.109375" style="205" customWidth="1"/>
    <col min="13359" max="13585" width="0" style="205" hidden="1"/>
    <col min="13586" max="13586" width="7.5546875" style="205" customWidth="1"/>
    <col min="13587" max="13587" width="36.77734375" style="205" customWidth="1"/>
    <col min="13588" max="13589" width="0" style="205" hidden="1"/>
    <col min="13590" max="13590" width="16.6640625" style="205" customWidth="1"/>
    <col min="13591" max="13591" width="17.33203125" style="205" customWidth="1"/>
    <col min="13592" max="13592" width="15.5546875" style="205" customWidth="1"/>
    <col min="13593" max="13593" width="0" style="205" hidden="1"/>
    <col min="13594" max="13594" width="16.6640625" style="205" customWidth="1"/>
    <col min="13595" max="13595" width="17.44140625" style="205" customWidth="1"/>
    <col min="13596" max="13597" width="0" style="205" hidden="1"/>
    <col min="13598" max="13600" width="15.33203125" style="205" customWidth="1"/>
    <col min="13601" max="13601" width="17" style="205" customWidth="1"/>
    <col min="13602" max="13602" width="0" style="205" hidden="1"/>
    <col min="13603" max="13604" width="15.5546875" style="205" customWidth="1"/>
    <col min="13605" max="13605" width="13.6640625" style="205" customWidth="1"/>
    <col min="13606" max="13606" width="9" style="205" customWidth="1"/>
    <col min="13607" max="13607" width="49.88671875" style="205" customWidth="1"/>
    <col min="13608" max="13608" width="0" style="205" hidden="1"/>
    <col min="13609" max="13610" width="15.88671875" style="205" customWidth="1"/>
    <col min="13611" max="13611" width="14.5546875" style="205" customWidth="1"/>
    <col min="13612" max="13612" width="16.33203125" style="205" customWidth="1"/>
    <col min="13613" max="13613" width="18.109375" style="205" customWidth="1"/>
    <col min="13614" max="13614" width="14.109375" style="205" customWidth="1"/>
    <col min="13615" max="13841" width="0" style="205" hidden="1"/>
    <col min="13842" max="13842" width="7.5546875" style="205" customWidth="1"/>
    <col min="13843" max="13843" width="36.77734375" style="205" customWidth="1"/>
    <col min="13844" max="13845" width="0" style="205" hidden="1"/>
    <col min="13846" max="13846" width="16.6640625" style="205" customWidth="1"/>
    <col min="13847" max="13847" width="17.33203125" style="205" customWidth="1"/>
    <col min="13848" max="13848" width="15.5546875" style="205" customWidth="1"/>
    <col min="13849" max="13849" width="0" style="205" hidden="1"/>
    <col min="13850" max="13850" width="16.6640625" style="205" customWidth="1"/>
    <col min="13851" max="13851" width="17.44140625" style="205" customWidth="1"/>
    <col min="13852" max="13853" width="0" style="205" hidden="1"/>
    <col min="13854" max="13856" width="15.33203125" style="205" customWidth="1"/>
    <col min="13857" max="13857" width="17" style="205" customWidth="1"/>
    <col min="13858" max="13858" width="0" style="205" hidden="1"/>
    <col min="13859" max="13860" width="15.5546875" style="205" customWidth="1"/>
    <col min="13861" max="13861" width="13.6640625" style="205" customWidth="1"/>
    <col min="13862" max="13862" width="9" style="205" customWidth="1"/>
    <col min="13863" max="13863" width="49.88671875" style="205" customWidth="1"/>
    <col min="13864" max="13864" width="0" style="205" hidden="1"/>
    <col min="13865" max="13866" width="15.88671875" style="205" customWidth="1"/>
    <col min="13867" max="13867" width="14.5546875" style="205" customWidth="1"/>
    <col min="13868" max="13868" width="16.33203125" style="205" customWidth="1"/>
    <col min="13869" max="13869" width="18.109375" style="205" customWidth="1"/>
    <col min="13870" max="13870" width="14.109375" style="205" customWidth="1"/>
    <col min="13871" max="14097" width="0" style="205" hidden="1"/>
    <col min="14098" max="14098" width="7.5546875" style="205" customWidth="1"/>
    <col min="14099" max="14099" width="36.77734375" style="205" customWidth="1"/>
    <col min="14100" max="14101" width="0" style="205" hidden="1"/>
    <col min="14102" max="14102" width="16.6640625" style="205" customWidth="1"/>
    <col min="14103" max="14103" width="17.33203125" style="205" customWidth="1"/>
    <col min="14104" max="14104" width="15.5546875" style="205" customWidth="1"/>
    <col min="14105" max="14105" width="0" style="205" hidden="1"/>
    <col min="14106" max="14106" width="16.6640625" style="205" customWidth="1"/>
    <col min="14107" max="14107" width="17.44140625" style="205" customWidth="1"/>
    <col min="14108" max="14109" width="0" style="205" hidden="1"/>
    <col min="14110" max="14112" width="15.33203125" style="205" customWidth="1"/>
    <col min="14113" max="14113" width="17" style="205" customWidth="1"/>
    <col min="14114" max="14114" width="0" style="205" hidden="1"/>
    <col min="14115" max="14116" width="15.5546875" style="205" customWidth="1"/>
    <col min="14117" max="14117" width="13.6640625" style="205" customWidth="1"/>
    <col min="14118" max="14118" width="9" style="205" customWidth="1"/>
    <col min="14119" max="14119" width="49.88671875" style="205" customWidth="1"/>
    <col min="14120" max="14120" width="0" style="205" hidden="1"/>
    <col min="14121" max="14122" width="15.88671875" style="205" customWidth="1"/>
    <col min="14123" max="14123" width="14.5546875" style="205" customWidth="1"/>
    <col min="14124" max="14124" width="16.33203125" style="205" customWidth="1"/>
    <col min="14125" max="14125" width="18.109375" style="205" customWidth="1"/>
    <col min="14126" max="14126" width="14.109375" style="205" customWidth="1"/>
    <col min="14127" max="14353" width="0" style="205" hidden="1"/>
    <col min="14354" max="14354" width="7.5546875" style="205" customWidth="1"/>
    <col min="14355" max="14355" width="36.77734375" style="205" customWidth="1"/>
    <col min="14356" max="14357" width="0" style="205" hidden="1"/>
    <col min="14358" max="14358" width="16.6640625" style="205" customWidth="1"/>
    <col min="14359" max="14359" width="17.33203125" style="205" customWidth="1"/>
    <col min="14360" max="14360" width="15.5546875" style="205" customWidth="1"/>
    <col min="14361" max="14361" width="0" style="205" hidden="1"/>
    <col min="14362" max="14362" width="16.6640625" style="205" customWidth="1"/>
    <col min="14363" max="14363" width="17.44140625" style="205" customWidth="1"/>
    <col min="14364" max="14365" width="0" style="205" hidden="1"/>
    <col min="14366" max="14368" width="15.33203125" style="205" customWidth="1"/>
    <col min="14369" max="14369" width="17" style="205" customWidth="1"/>
    <col min="14370" max="14370" width="0" style="205" hidden="1"/>
    <col min="14371" max="14372" width="15.5546875" style="205" customWidth="1"/>
    <col min="14373" max="14373" width="13.6640625" style="205" customWidth="1"/>
    <col min="14374" max="14374" width="9" style="205" customWidth="1"/>
    <col min="14375" max="14375" width="49.88671875" style="205" customWidth="1"/>
    <col min="14376" max="14376" width="0" style="205" hidden="1"/>
    <col min="14377" max="14378" width="15.88671875" style="205" customWidth="1"/>
    <col min="14379" max="14379" width="14.5546875" style="205" customWidth="1"/>
    <col min="14380" max="14380" width="16.33203125" style="205" customWidth="1"/>
    <col min="14381" max="14381" width="18.109375" style="205" customWidth="1"/>
    <col min="14382" max="14382" width="14.109375" style="205" customWidth="1"/>
    <col min="14383" max="14609" width="0" style="205" hidden="1"/>
    <col min="14610" max="14610" width="7.5546875" style="205" customWidth="1"/>
    <col min="14611" max="14611" width="36.77734375" style="205" customWidth="1"/>
    <col min="14612" max="14613" width="0" style="205" hidden="1"/>
    <col min="14614" max="14614" width="16.6640625" style="205" customWidth="1"/>
    <col min="14615" max="14615" width="17.33203125" style="205" customWidth="1"/>
    <col min="14616" max="14616" width="15.5546875" style="205" customWidth="1"/>
    <col min="14617" max="14617" width="0" style="205" hidden="1"/>
    <col min="14618" max="14618" width="16.6640625" style="205" customWidth="1"/>
    <col min="14619" max="14619" width="17.44140625" style="205" customWidth="1"/>
    <col min="14620" max="14621" width="0" style="205" hidden="1"/>
    <col min="14622" max="14624" width="15.33203125" style="205" customWidth="1"/>
    <col min="14625" max="14625" width="17" style="205" customWidth="1"/>
    <col min="14626" max="14626" width="0" style="205" hidden="1"/>
    <col min="14627" max="14628" width="15.5546875" style="205" customWidth="1"/>
    <col min="14629" max="14629" width="13.6640625" style="205" customWidth="1"/>
    <col min="14630" max="14630" width="9" style="205" customWidth="1"/>
    <col min="14631" max="14631" width="49.88671875" style="205" customWidth="1"/>
    <col min="14632" max="14632" width="0" style="205" hidden="1"/>
    <col min="14633" max="14634" width="15.88671875" style="205" customWidth="1"/>
    <col min="14635" max="14635" width="14.5546875" style="205" customWidth="1"/>
    <col min="14636" max="14636" width="16.33203125" style="205" customWidth="1"/>
    <col min="14637" max="14637" width="18.109375" style="205" customWidth="1"/>
    <col min="14638" max="14638" width="14.109375" style="205" customWidth="1"/>
    <col min="14639" max="14865" width="0" style="205" hidden="1"/>
    <col min="14866" max="14866" width="7.5546875" style="205" customWidth="1"/>
    <col min="14867" max="14867" width="36.77734375" style="205" customWidth="1"/>
    <col min="14868" max="14869" width="0" style="205" hidden="1"/>
    <col min="14870" max="14870" width="16.6640625" style="205" customWidth="1"/>
    <col min="14871" max="14871" width="17.33203125" style="205" customWidth="1"/>
    <col min="14872" max="14872" width="15.5546875" style="205" customWidth="1"/>
    <col min="14873" max="14873" width="0" style="205" hidden="1"/>
    <col min="14874" max="14874" width="16.6640625" style="205" customWidth="1"/>
    <col min="14875" max="14875" width="17.44140625" style="205" customWidth="1"/>
    <col min="14876" max="14877" width="0" style="205" hidden="1"/>
    <col min="14878" max="14880" width="15.33203125" style="205" customWidth="1"/>
    <col min="14881" max="14881" width="17" style="205" customWidth="1"/>
    <col min="14882" max="14882" width="0" style="205" hidden="1"/>
    <col min="14883" max="14884" width="15.5546875" style="205" customWidth="1"/>
    <col min="14885" max="14885" width="13.6640625" style="205" customWidth="1"/>
    <col min="14886" max="14886" width="9" style="205" customWidth="1"/>
    <col min="14887" max="14887" width="49.88671875" style="205" customWidth="1"/>
    <col min="14888" max="14888" width="0" style="205" hidden="1"/>
    <col min="14889" max="14890" width="15.88671875" style="205" customWidth="1"/>
    <col min="14891" max="14891" width="14.5546875" style="205" customWidth="1"/>
    <col min="14892" max="14892" width="16.33203125" style="205" customWidth="1"/>
    <col min="14893" max="14893" width="18.109375" style="205" customWidth="1"/>
    <col min="14894" max="14894" width="14.109375" style="205" customWidth="1"/>
    <col min="14895" max="15121" width="0" style="205" hidden="1"/>
    <col min="15122" max="15122" width="7.5546875" style="205" customWidth="1"/>
    <col min="15123" max="15123" width="36.77734375" style="205" customWidth="1"/>
    <col min="15124" max="15125" width="0" style="205" hidden="1"/>
    <col min="15126" max="15126" width="16.6640625" style="205" customWidth="1"/>
    <col min="15127" max="15127" width="17.33203125" style="205" customWidth="1"/>
    <col min="15128" max="15128" width="15.5546875" style="205" customWidth="1"/>
    <col min="15129" max="15129" width="0" style="205" hidden="1"/>
    <col min="15130" max="15130" width="16.6640625" style="205" customWidth="1"/>
    <col min="15131" max="15131" width="17.44140625" style="205" customWidth="1"/>
    <col min="15132" max="15133" width="0" style="205" hidden="1"/>
    <col min="15134" max="15136" width="15.33203125" style="205" customWidth="1"/>
    <col min="15137" max="15137" width="17" style="205" customWidth="1"/>
    <col min="15138" max="15138" width="0" style="205" hidden="1"/>
    <col min="15139" max="15140" width="15.5546875" style="205" customWidth="1"/>
    <col min="15141" max="15141" width="13.6640625" style="205" customWidth="1"/>
    <col min="15142" max="15142" width="9" style="205" customWidth="1"/>
    <col min="15143" max="15143" width="49.88671875" style="205" customWidth="1"/>
    <col min="15144" max="15144" width="0" style="205" hidden="1"/>
    <col min="15145" max="15146" width="15.88671875" style="205" customWidth="1"/>
    <col min="15147" max="15147" width="14.5546875" style="205" customWidth="1"/>
    <col min="15148" max="15148" width="16.33203125" style="205" customWidth="1"/>
    <col min="15149" max="15149" width="18.109375" style="205" customWidth="1"/>
    <col min="15150" max="15150" width="14.109375" style="205" customWidth="1"/>
    <col min="15151" max="15377" width="0" style="205" hidden="1"/>
    <col min="15378" max="15378" width="7.5546875" style="205" customWidth="1"/>
    <col min="15379" max="15379" width="36.77734375" style="205" customWidth="1"/>
    <col min="15380" max="15381" width="0" style="205" hidden="1"/>
    <col min="15382" max="15382" width="16.6640625" style="205" customWidth="1"/>
    <col min="15383" max="15383" width="17.33203125" style="205" customWidth="1"/>
    <col min="15384" max="15384" width="15.5546875" style="205" customWidth="1"/>
    <col min="15385" max="15385" width="0" style="205" hidden="1"/>
    <col min="15386" max="15386" width="16.6640625" style="205" customWidth="1"/>
    <col min="15387" max="15387" width="17.44140625" style="205" customWidth="1"/>
    <col min="15388" max="15389" width="0" style="205" hidden="1"/>
    <col min="15390" max="15392" width="15.33203125" style="205" customWidth="1"/>
    <col min="15393" max="15393" width="17" style="205" customWidth="1"/>
    <col min="15394" max="15394" width="0" style="205" hidden="1"/>
    <col min="15395" max="15396" width="15.5546875" style="205" customWidth="1"/>
    <col min="15397" max="15397" width="13.6640625" style="205" customWidth="1"/>
    <col min="15398" max="15398" width="9" style="205" customWidth="1"/>
    <col min="15399" max="15399" width="49.88671875" style="205" customWidth="1"/>
    <col min="15400" max="15400" width="0" style="205" hidden="1"/>
    <col min="15401" max="15402" width="15.88671875" style="205" customWidth="1"/>
    <col min="15403" max="15403" width="14.5546875" style="205" customWidth="1"/>
    <col min="15404" max="15404" width="16.33203125" style="205" customWidth="1"/>
    <col min="15405" max="15405" width="18.109375" style="205" customWidth="1"/>
    <col min="15406" max="15406" width="14.109375" style="205" customWidth="1"/>
    <col min="15407" max="15633" width="0" style="205" hidden="1"/>
    <col min="15634" max="15634" width="7.5546875" style="205" customWidth="1"/>
    <col min="15635" max="15635" width="36.77734375" style="205" customWidth="1"/>
    <col min="15636" max="15637" width="0" style="205" hidden="1"/>
    <col min="15638" max="15638" width="16.6640625" style="205" customWidth="1"/>
    <col min="15639" max="15639" width="17.33203125" style="205" customWidth="1"/>
    <col min="15640" max="15640" width="15.5546875" style="205" customWidth="1"/>
    <col min="15641" max="15641" width="0" style="205" hidden="1"/>
    <col min="15642" max="15642" width="16.6640625" style="205" customWidth="1"/>
    <col min="15643" max="15643" width="17.44140625" style="205" customWidth="1"/>
    <col min="15644" max="15645" width="0" style="205" hidden="1"/>
    <col min="15646" max="15648" width="15.33203125" style="205" customWidth="1"/>
    <col min="15649" max="15649" width="17" style="205" customWidth="1"/>
    <col min="15650" max="15650" width="0" style="205" hidden="1"/>
    <col min="15651" max="15652" width="15.5546875" style="205" customWidth="1"/>
    <col min="15653" max="15653" width="13.6640625" style="205" customWidth="1"/>
    <col min="15654" max="15654" width="9" style="205" customWidth="1"/>
    <col min="15655" max="15655" width="49.88671875" style="205" customWidth="1"/>
    <col min="15656" max="15656" width="0" style="205" hidden="1"/>
    <col min="15657" max="15658" width="15.88671875" style="205" customWidth="1"/>
    <col min="15659" max="15659" width="14.5546875" style="205" customWidth="1"/>
    <col min="15660" max="15660" width="16.33203125" style="205" customWidth="1"/>
    <col min="15661" max="15661" width="18.109375" style="205" customWidth="1"/>
    <col min="15662" max="15662" width="14.109375" style="205" customWidth="1"/>
    <col min="15663" max="15889" width="0" style="205" hidden="1"/>
    <col min="15890" max="15890" width="7.5546875" style="205" customWidth="1"/>
    <col min="15891" max="15891" width="36.77734375" style="205" customWidth="1"/>
    <col min="15892" max="15893" width="0" style="205" hidden="1"/>
    <col min="15894" max="15894" width="16.6640625" style="205" customWidth="1"/>
    <col min="15895" max="15895" width="17.33203125" style="205" customWidth="1"/>
    <col min="15896" max="15896" width="15.5546875" style="205" customWidth="1"/>
    <col min="15897" max="15897" width="0" style="205" hidden="1"/>
    <col min="15898" max="15898" width="16.6640625" style="205" customWidth="1"/>
    <col min="15899" max="15899" width="17.44140625" style="205" customWidth="1"/>
    <col min="15900" max="15901" width="0" style="205" hidden="1"/>
    <col min="15902" max="15904" width="15.33203125" style="205" customWidth="1"/>
    <col min="15905" max="15905" width="17" style="205" customWidth="1"/>
    <col min="15906" max="15906" width="0" style="205" hidden="1"/>
    <col min="15907" max="15908" width="15.5546875" style="205" customWidth="1"/>
    <col min="15909" max="15909" width="13.6640625" style="205" customWidth="1"/>
    <col min="15910" max="15910" width="9" style="205" customWidth="1"/>
    <col min="15911" max="15911" width="49.88671875" style="205" customWidth="1"/>
    <col min="15912" max="15912" width="0" style="205" hidden="1"/>
    <col min="15913" max="15914" width="15.88671875" style="205" customWidth="1"/>
    <col min="15915" max="15915" width="14.5546875" style="205" customWidth="1"/>
    <col min="15916" max="15916" width="16.33203125" style="205" customWidth="1"/>
    <col min="15917" max="15917" width="18.109375" style="205" customWidth="1"/>
    <col min="15918" max="15918" width="14.109375" style="205" customWidth="1"/>
    <col min="15919" max="16384" width="0" style="205" hidden="1"/>
  </cols>
  <sheetData>
    <row r="1" spans="1:23" ht="24.75" customHeight="1">
      <c r="A1" s="141" t="s">
        <v>73</v>
      </c>
      <c r="B1" s="1"/>
      <c r="C1" s="1"/>
      <c r="D1" s="1"/>
      <c r="E1" s="1"/>
      <c r="F1" s="47"/>
      <c r="G1" s="55"/>
      <c r="H1" s="47"/>
      <c r="I1" s="47"/>
      <c r="J1" s="47"/>
      <c r="K1" s="47"/>
      <c r="L1" s="1"/>
      <c r="M1" s="1"/>
      <c r="N1" s="47"/>
      <c r="O1" s="47"/>
      <c r="P1" s="47"/>
      <c r="Q1" s="47"/>
      <c r="R1" s="1"/>
      <c r="S1" s="1"/>
      <c r="T1" s="1"/>
      <c r="U1" s="2"/>
      <c r="V1" s="2"/>
      <c r="W1" s="205"/>
    </row>
    <row r="2" spans="1:23" ht="24.75" customHeight="1">
      <c r="A2" s="142" t="s">
        <v>121</v>
      </c>
      <c r="B2" s="5"/>
      <c r="C2" s="5"/>
      <c r="D2" s="5"/>
      <c r="E2" s="5"/>
      <c r="F2" s="206"/>
      <c r="G2" s="207"/>
      <c r="H2" s="206"/>
      <c r="I2" s="206"/>
      <c r="J2" s="206"/>
      <c r="K2" s="206"/>
      <c r="L2" s="5"/>
      <c r="M2" s="5"/>
      <c r="N2" s="206"/>
      <c r="O2" s="206"/>
      <c r="P2" s="206"/>
      <c r="Q2" s="206"/>
      <c r="R2" s="5"/>
      <c r="S2" s="5"/>
      <c r="T2" s="5"/>
      <c r="U2" s="208"/>
      <c r="V2" s="208"/>
      <c r="W2" s="205"/>
    </row>
    <row r="3" spans="1:23" ht="26.25" customHeight="1">
      <c r="A3" s="8" t="s">
        <v>44</v>
      </c>
      <c r="B3" s="8"/>
      <c r="C3" s="209"/>
      <c r="D3" s="209"/>
      <c r="E3" s="209"/>
      <c r="F3" s="210"/>
      <c r="G3" s="211"/>
      <c r="H3" s="210"/>
      <c r="I3" s="210"/>
      <c r="J3" s="210"/>
      <c r="K3" s="210"/>
      <c r="L3" s="212"/>
      <c r="M3" s="212"/>
      <c r="N3" s="210"/>
      <c r="O3" s="210"/>
      <c r="P3" s="210"/>
      <c r="Q3" s="210"/>
      <c r="S3" s="214"/>
      <c r="T3" s="214"/>
      <c r="V3" s="216"/>
      <c r="W3" s="205"/>
    </row>
    <row r="4" spans="1:23" ht="15" customHeight="1" thickBot="1">
      <c r="A4" s="217"/>
      <c r="B4" s="217"/>
      <c r="C4" s="209"/>
      <c r="D4" s="209"/>
      <c r="E4" s="209"/>
      <c r="F4" s="210"/>
      <c r="G4" s="211"/>
      <c r="H4" s="210"/>
      <c r="I4" s="210"/>
      <c r="J4" s="210"/>
      <c r="K4" s="210"/>
      <c r="L4" s="218">
        <v>0.05</v>
      </c>
      <c r="M4" s="218">
        <v>0.25</v>
      </c>
      <c r="N4" s="210"/>
      <c r="O4" s="210"/>
      <c r="P4" s="210"/>
      <c r="Q4" s="218">
        <v>0.25</v>
      </c>
      <c r="S4" s="214"/>
      <c r="T4" s="214"/>
      <c r="V4" s="216"/>
      <c r="W4" s="205"/>
    </row>
    <row r="5" spans="1:23" s="255" customFormat="1" ht="78" customHeight="1" thickBot="1">
      <c r="A5" s="245" t="s">
        <v>0</v>
      </c>
      <c r="B5" s="245" t="s">
        <v>40</v>
      </c>
      <c r="C5" s="246" t="s">
        <v>1</v>
      </c>
      <c r="D5" s="247" t="s">
        <v>6</v>
      </c>
      <c r="E5" s="248" t="s">
        <v>45</v>
      </c>
      <c r="F5" s="249" t="s">
        <v>31</v>
      </c>
      <c r="G5" s="250" t="s">
        <v>37</v>
      </c>
      <c r="H5" s="394" t="s">
        <v>109</v>
      </c>
      <c r="I5" s="394" t="s">
        <v>38</v>
      </c>
      <c r="J5" s="251" t="s">
        <v>41</v>
      </c>
      <c r="K5" s="251" t="s">
        <v>116</v>
      </c>
      <c r="L5" s="252" t="s">
        <v>117</v>
      </c>
      <c r="M5" s="252" t="s">
        <v>118</v>
      </c>
      <c r="N5" s="251" t="s">
        <v>119</v>
      </c>
      <c r="O5" s="395" t="s">
        <v>113</v>
      </c>
      <c r="P5" s="395" t="s">
        <v>114</v>
      </c>
      <c r="Q5" s="395" t="s">
        <v>115</v>
      </c>
      <c r="R5" s="253" t="s">
        <v>120</v>
      </c>
      <c r="S5" s="396" t="s">
        <v>39</v>
      </c>
      <c r="T5" s="397" t="s">
        <v>43</v>
      </c>
      <c r="U5" s="397" t="s">
        <v>7</v>
      </c>
      <c r="V5" s="254"/>
    </row>
    <row r="6" spans="1:23" s="453" customFormat="1" ht="23.4" customHeight="1">
      <c r="A6" s="440"/>
      <c r="B6" s="441"/>
      <c r="C6" s="442"/>
      <c r="D6" s="443"/>
      <c r="E6" s="443"/>
      <c r="F6" s="444"/>
      <c r="G6" s="445"/>
      <c r="H6" s="446"/>
      <c r="I6" s="446"/>
      <c r="J6" s="444"/>
      <c r="K6" s="447"/>
      <c r="L6" s="448"/>
      <c r="M6" s="448"/>
      <c r="N6" s="446"/>
      <c r="O6" s="446"/>
      <c r="P6" s="446"/>
      <c r="Q6" s="446"/>
      <c r="R6" s="449"/>
      <c r="S6" s="450"/>
      <c r="T6" s="450"/>
      <c r="U6" s="451"/>
      <c r="V6" s="452"/>
    </row>
    <row r="7" spans="1:23" s="453" customFormat="1" ht="23.4" customHeight="1">
      <c r="A7" s="454"/>
      <c r="B7" s="455"/>
      <c r="C7" s="456"/>
      <c r="D7" s="457"/>
      <c r="E7" s="457"/>
      <c r="F7" s="457"/>
      <c r="G7" s="458"/>
      <c r="H7" s="459"/>
      <c r="I7" s="459"/>
      <c r="J7" s="460"/>
      <c r="K7" s="461"/>
      <c r="L7" s="462"/>
      <c r="M7" s="463"/>
      <c r="N7" s="464"/>
      <c r="O7" s="464"/>
      <c r="P7" s="464"/>
      <c r="Q7" s="464"/>
      <c r="R7" s="465"/>
      <c r="S7" s="466"/>
      <c r="T7" s="466"/>
      <c r="U7" s="467"/>
      <c r="V7" s="468"/>
    </row>
    <row r="8" spans="1:23" s="453" customFormat="1" ht="23.4" customHeight="1" thickBot="1">
      <c r="A8" s="469"/>
      <c r="B8" s="470"/>
      <c r="C8" s="439"/>
      <c r="D8" s="471"/>
      <c r="E8" s="471"/>
      <c r="F8" s="457"/>
      <c r="G8" s="458"/>
      <c r="H8" s="472"/>
      <c r="I8" s="472"/>
      <c r="J8" s="457"/>
      <c r="K8" s="457"/>
      <c r="L8" s="463"/>
      <c r="M8" s="463"/>
      <c r="N8" s="473"/>
      <c r="O8" s="473"/>
      <c r="P8" s="473"/>
      <c r="Q8" s="473"/>
      <c r="R8" s="474"/>
      <c r="S8" s="475"/>
      <c r="T8" s="475"/>
      <c r="U8" s="476"/>
      <c r="V8" s="477"/>
    </row>
    <row r="9" spans="1:23" s="453" customFormat="1" ht="23.4" customHeight="1">
      <c r="A9" s="478"/>
      <c r="B9" s="479"/>
      <c r="C9" s="480"/>
      <c r="D9" s="481"/>
      <c r="E9" s="481"/>
      <c r="F9" s="482"/>
      <c r="G9" s="483"/>
      <c r="H9" s="446"/>
      <c r="I9" s="446"/>
      <c r="J9" s="482"/>
      <c r="K9" s="447"/>
      <c r="L9" s="484"/>
      <c r="M9" s="484"/>
      <c r="N9" s="485"/>
      <c r="O9" s="486"/>
      <c r="P9" s="486"/>
      <c r="Q9" s="485"/>
      <c r="R9" s="487"/>
      <c r="S9" s="488"/>
      <c r="T9" s="489"/>
      <c r="U9" s="490"/>
      <c r="V9" s="452"/>
    </row>
    <row r="10" spans="1:23" s="453" customFormat="1" ht="23.4" customHeight="1">
      <c r="A10" s="491"/>
      <c r="B10" s="455"/>
      <c r="C10" s="456"/>
      <c r="D10" s="457"/>
      <c r="E10" s="457"/>
      <c r="F10" s="457"/>
      <c r="G10" s="458"/>
      <c r="H10" s="459"/>
      <c r="I10" s="459"/>
      <c r="J10" s="460"/>
      <c r="K10" s="492"/>
      <c r="L10" s="462"/>
      <c r="M10" s="463"/>
      <c r="N10" s="464"/>
      <c r="O10" s="464"/>
      <c r="P10" s="464"/>
      <c r="Q10" s="464"/>
      <c r="R10" s="465"/>
      <c r="S10" s="493"/>
      <c r="T10" s="493"/>
      <c r="U10" s="494"/>
      <c r="V10" s="452"/>
    </row>
    <row r="11" spans="1:23" s="453" customFormat="1" ht="23.4" customHeight="1" thickBot="1">
      <c r="A11" s="495"/>
      <c r="B11" s="470"/>
      <c r="C11" s="439"/>
      <c r="D11" s="471"/>
      <c r="E11" s="471"/>
      <c r="F11" s="457"/>
      <c r="G11" s="458"/>
      <c r="H11" s="472"/>
      <c r="I11" s="472"/>
      <c r="J11" s="457"/>
      <c r="K11" s="496"/>
      <c r="L11" s="463"/>
      <c r="M11" s="463"/>
      <c r="N11" s="473"/>
      <c r="O11" s="473"/>
      <c r="P11" s="473"/>
      <c r="Q11" s="473"/>
      <c r="R11" s="474"/>
      <c r="S11" s="497"/>
      <c r="T11" s="497"/>
      <c r="U11" s="476"/>
      <c r="V11" s="498"/>
    </row>
    <row r="12" spans="1:23" s="453" customFormat="1" ht="23.4" customHeight="1">
      <c r="A12" s="499"/>
      <c r="B12" s="479"/>
      <c r="C12" s="480"/>
      <c r="D12" s="481"/>
      <c r="E12" s="481"/>
      <c r="F12" s="482"/>
      <c r="G12" s="483"/>
      <c r="H12" s="446"/>
      <c r="I12" s="446"/>
      <c r="J12" s="482"/>
      <c r="K12" s="447"/>
      <c r="L12" s="484"/>
      <c r="M12" s="484"/>
      <c r="N12" s="485"/>
      <c r="O12" s="486"/>
      <c r="P12" s="486"/>
      <c r="Q12" s="485"/>
      <c r="R12" s="487"/>
      <c r="S12" s="488"/>
      <c r="T12" s="500"/>
      <c r="U12" s="490"/>
      <c r="V12" s="452"/>
    </row>
    <row r="13" spans="1:23" s="453" customFormat="1" ht="23.4" customHeight="1">
      <c r="A13" s="491"/>
      <c r="B13" s="455"/>
      <c r="C13" s="456"/>
      <c r="D13" s="457"/>
      <c r="E13" s="457"/>
      <c r="F13" s="457"/>
      <c r="G13" s="458"/>
      <c r="H13" s="459"/>
      <c r="I13" s="459"/>
      <c r="J13" s="460"/>
      <c r="K13" s="492"/>
      <c r="L13" s="462"/>
      <c r="M13" s="463"/>
      <c r="N13" s="464"/>
      <c r="O13" s="464"/>
      <c r="P13" s="464"/>
      <c r="Q13" s="464"/>
      <c r="R13" s="465"/>
      <c r="S13" s="493"/>
      <c r="T13" s="493"/>
      <c r="U13" s="494"/>
      <c r="V13" s="452"/>
    </row>
    <row r="14" spans="1:23" s="453" customFormat="1" ht="23.4" customHeight="1" thickBot="1">
      <c r="A14" s="495"/>
      <c r="B14" s="470"/>
      <c r="C14" s="439"/>
      <c r="D14" s="471"/>
      <c r="E14" s="471"/>
      <c r="F14" s="457"/>
      <c r="G14" s="458"/>
      <c r="H14" s="472"/>
      <c r="I14" s="472"/>
      <c r="J14" s="457"/>
      <c r="K14" s="496"/>
      <c r="L14" s="463"/>
      <c r="M14" s="463"/>
      <c r="N14" s="473"/>
      <c r="O14" s="473"/>
      <c r="P14" s="473"/>
      <c r="Q14" s="473"/>
      <c r="R14" s="474"/>
      <c r="S14" s="497"/>
      <c r="T14" s="497"/>
      <c r="U14" s="476"/>
      <c r="V14" s="498"/>
    </row>
    <row r="15" spans="1:23" s="453" customFormat="1" ht="23.4" customHeight="1">
      <c r="A15" s="478"/>
      <c r="B15" s="479"/>
      <c r="C15" s="480"/>
      <c r="D15" s="481"/>
      <c r="E15" s="481"/>
      <c r="F15" s="482"/>
      <c r="G15" s="483"/>
      <c r="H15" s="446"/>
      <c r="I15" s="446"/>
      <c r="J15" s="482"/>
      <c r="K15" s="447"/>
      <c r="L15" s="484"/>
      <c r="M15" s="484"/>
      <c r="N15" s="485"/>
      <c r="O15" s="486"/>
      <c r="P15" s="486"/>
      <c r="Q15" s="485"/>
      <c r="R15" s="487"/>
      <c r="S15" s="488"/>
      <c r="T15" s="489"/>
      <c r="U15" s="490"/>
      <c r="V15" s="452"/>
    </row>
    <row r="16" spans="1:23" s="453" customFormat="1" ht="23.4" customHeight="1">
      <c r="A16" s="491"/>
      <c r="B16" s="455"/>
      <c r="C16" s="456"/>
      <c r="D16" s="457"/>
      <c r="E16" s="457"/>
      <c r="F16" s="457"/>
      <c r="G16" s="458"/>
      <c r="H16" s="459"/>
      <c r="I16" s="459"/>
      <c r="J16" s="460"/>
      <c r="K16" s="492"/>
      <c r="L16" s="462"/>
      <c r="M16" s="463"/>
      <c r="N16" s="464"/>
      <c r="O16" s="464"/>
      <c r="P16" s="464"/>
      <c r="Q16" s="464"/>
      <c r="R16" s="465"/>
      <c r="S16" s="493"/>
      <c r="T16" s="493"/>
      <c r="U16" s="494"/>
      <c r="V16" s="452"/>
    </row>
    <row r="17" spans="1:22" s="453" customFormat="1" ht="23.4" customHeight="1" thickBot="1">
      <c r="A17" s="495"/>
      <c r="B17" s="470"/>
      <c r="C17" s="439"/>
      <c r="D17" s="471"/>
      <c r="E17" s="471"/>
      <c r="F17" s="457"/>
      <c r="G17" s="458"/>
      <c r="H17" s="472"/>
      <c r="I17" s="472"/>
      <c r="J17" s="457"/>
      <c r="K17" s="496"/>
      <c r="L17" s="463"/>
      <c r="M17" s="463"/>
      <c r="N17" s="473"/>
      <c r="O17" s="473"/>
      <c r="P17" s="473"/>
      <c r="Q17" s="473"/>
      <c r="R17" s="474"/>
      <c r="S17" s="497"/>
      <c r="T17" s="497"/>
      <c r="U17" s="476"/>
      <c r="V17" s="498"/>
    </row>
    <row r="18" spans="1:22" s="453" customFormat="1" ht="23.4" customHeight="1">
      <c r="A18" s="478"/>
      <c r="B18" s="479"/>
      <c r="C18" s="480"/>
      <c r="D18" s="481"/>
      <c r="E18" s="481"/>
      <c r="F18" s="482"/>
      <c r="G18" s="483"/>
      <c r="H18" s="446"/>
      <c r="I18" s="446"/>
      <c r="J18" s="482"/>
      <c r="K18" s="447"/>
      <c r="L18" s="484"/>
      <c r="M18" s="484"/>
      <c r="N18" s="485"/>
      <c r="O18" s="486"/>
      <c r="P18" s="486"/>
      <c r="Q18" s="485"/>
      <c r="R18" s="487"/>
      <c r="S18" s="488"/>
      <c r="T18" s="489"/>
      <c r="U18" s="490"/>
      <c r="V18" s="452"/>
    </row>
    <row r="19" spans="1:22" s="453" customFormat="1" ht="23.4" customHeight="1">
      <c r="A19" s="491"/>
      <c r="B19" s="455"/>
      <c r="C19" s="456"/>
      <c r="D19" s="457"/>
      <c r="E19" s="457"/>
      <c r="F19" s="457"/>
      <c r="G19" s="458"/>
      <c r="H19" s="459"/>
      <c r="I19" s="459"/>
      <c r="J19" s="460"/>
      <c r="K19" s="492"/>
      <c r="L19" s="462"/>
      <c r="M19" s="463"/>
      <c r="N19" s="464"/>
      <c r="O19" s="464"/>
      <c r="P19" s="464"/>
      <c r="Q19" s="464"/>
      <c r="R19" s="465"/>
      <c r="S19" s="493"/>
      <c r="T19" s="493"/>
      <c r="U19" s="494"/>
      <c r="V19" s="452"/>
    </row>
    <row r="20" spans="1:22" s="453" customFormat="1" ht="23.4" customHeight="1" thickBot="1">
      <c r="A20" s="495"/>
      <c r="B20" s="470"/>
      <c r="C20" s="439"/>
      <c r="D20" s="471"/>
      <c r="E20" s="471"/>
      <c r="F20" s="457"/>
      <c r="G20" s="458"/>
      <c r="H20" s="472"/>
      <c r="I20" s="472"/>
      <c r="J20" s="457"/>
      <c r="K20" s="496"/>
      <c r="L20" s="463"/>
      <c r="M20" s="463"/>
      <c r="N20" s="473"/>
      <c r="O20" s="473"/>
      <c r="P20" s="473"/>
      <c r="Q20" s="473"/>
      <c r="R20" s="474"/>
      <c r="S20" s="497"/>
      <c r="T20" s="497"/>
      <c r="U20" s="476"/>
      <c r="V20" s="498"/>
    </row>
    <row r="21" spans="1:22" s="3" customFormat="1" ht="27.45" hidden="1" customHeight="1">
      <c r="A21" s="276">
        <v>4</v>
      </c>
      <c r="B21" s="268"/>
      <c r="C21" s="20"/>
      <c r="D21" s="34"/>
      <c r="E21" s="34"/>
      <c r="F21" s="280"/>
      <c r="G21" s="398"/>
      <c r="H21" s="256"/>
      <c r="I21" s="256">
        <f>Table1351452010[[#This Row],[ค่าบริการรายเดือนตาม Package]]+Table1351452010[[#This Row],[รายการเบิก
คอมขายเพิ่มเติม
(เป้าตามกำหนด)
100-200%]]</f>
        <v>0</v>
      </c>
      <c r="J21" s="42"/>
      <c r="K21" s="280"/>
      <c r="L21" s="281">
        <f>IF(Table1351452010[[#This Row],[ค่าขายอุปกรณ์]]&gt;Table1351452010[[#This Row],[ต้นทุนค่าขายอุปกรณ์]],Table1351452010[[#This Row],[ต้นทุนค่าขายอุปกรณ์]]*$L$4,Table1351452010[[#This Row],[ค่าขายอุปกรณ์]]*$L$4)</f>
        <v>0</v>
      </c>
      <c r="M21" s="282">
        <f>IF(Table1351452010[[#This Row],[ค่าขายอุปกรณ์]]&gt;Table1351452010[[#This Row],[ต้นทุนค่าขายอุปกรณ์]],SUM(Table1351452010[[#This Row],[ค่าขายอุปกรณ์]]-Table1351452010[[#This Row],[ต้นทุนค่าขายอุปกรณ์]])*$M$4,0)</f>
        <v>0</v>
      </c>
      <c r="N21" s="51">
        <f>SUM(Table1351452010[[#This Row],[คอมฯอุปกรณ์
 5%]:[คอมฯ อุปกรณ์
25%]])</f>
        <v>0</v>
      </c>
      <c r="O21" s="269"/>
      <c r="P21" s="269"/>
      <c r="Q21"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1" s="257">
        <f>SUM(Table1351452010[[#This Row],[รายการเบิก
คอมขาย]],Table1351452010[[#This Row],[Total
คอมฯ อุปกรณ์]])+Table1351452010[[#This Row],[Total 
คอมฯค่าติดตั้ง/ค่าเชื่อมสัญญาณ]]</f>
        <v>0</v>
      </c>
      <c r="S21" s="270"/>
      <c r="T21" s="270"/>
      <c r="U21" s="271"/>
    </row>
    <row r="22" spans="1:22" s="259" customFormat="1" ht="27" hidden="1" customHeight="1">
      <c r="A22" s="277">
        <v>8.1</v>
      </c>
      <c r="B22" s="283"/>
      <c r="C22" s="272"/>
      <c r="D22" s="284"/>
      <c r="E22" s="43"/>
      <c r="F22" s="43"/>
      <c r="G22" s="46"/>
      <c r="H22" s="260"/>
      <c r="I22" s="260"/>
      <c r="J22" s="154"/>
      <c r="K22" s="392"/>
      <c r="L22" s="261"/>
      <c r="M22" s="262"/>
      <c r="N22" s="52"/>
      <c r="O22" s="52"/>
      <c r="P22" s="52"/>
      <c r="Q22" s="52"/>
      <c r="R22" s="263" t="s">
        <v>108</v>
      </c>
      <c r="S22" s="136"/>
      <c r="T22" s="273"/>
      <c r="U22" s="274"/>
      <c r="V22" s="3"/>
    </row>
    <row r="23" spans="1:22" s="259" customFormat="1" ht="27" hidden="1" customHeight="1" thickBot="1">
      <c r="A23" s="278">
        <v>8.1999999999999993</v>
      </c>
      <c r="B23" s="285"/>
      <c r="C23" s="264"/>
      <c r="D23" s="287"/>
      <c r="E23" s="41"/>
      <c r="F23" s="43"/>
      <c r="G23" s="46"/>
      <c r="H23" s="265"/>
      <c r="I23" s="265"/>
      <c r="J23" s="43"/>
      <c r="K23" s="393"/>
      <c r="L23" s="262"/>
      <c r="M23" s="262"/>
      <c r="N23" s="53"/>
      <c r="O23" s="53"/>
      <c r="P23" s="53"/>
      <c r="Q23" s="53"/>
      <c r="R23" s="266"/>
      <c r="S23" s="136"/>
      <c r="T23" s="273"/>
      <c r="U23" s="267"/>
      <c r="V23" s="3"/>
    </row>
    <row r="24" spans="1:22" s="3" customFormat="1" ht="27.45" hidden="1" customHeight="1">
      <c r="A24" s="276">
        <v>5</v>
      </c>
      <c r="B24" s="268"/>
      <c r="C24" s="20"/>
      <c r="D24" s="34"/>
      <c r="E24" s="34"/>
      <c r="F24" s="280"/>
      <c r="G24" s="398"/>
      <c r="H24" s="256"/>
      <c r="I24" s="256">
        <f>Table1351452010[[#This Row],[ค่าบริการรายเดือนตาม Package]]+Table1351452010[[#This Row],[รายการเบิก
คอมขายเพิ่มเติม
(เป้าตามกำหนด)
100-200%]]</f>
        <v>0</v>
      </c>
      <c r="J24" s="42"/>
      <c r="K24" s="280"/>
      <c r="L24" s="281">
        <f>IF(Table1351452010[[#This Row],[ค่าขายอุปกรณ์]]&gt;Table1351452010[[#This Row],[ต้นทุนค่าขายอุปกรณ์]],Table1351452010[[#This Row],[ต้นทุนค่าขายอุปกรณ์]]*$L$4,Table1351452010[[#This Row],[ค่าขายอุปกรณ์]]*$L$4)</f>
        <v>0</v>
      </c>
      <c r="M24" s="282">
        <f>IF(Table1351452010[[#This Row],[ค่าขายอุปกรณ์]]&gt;Table1351452010[[#This Row],[ต้นทุนค่าขายอุปกรณ์]],SUM(Table1351452010[[#This Row],[ค่าขายอุปกรณ์]]-Table1351452010[[#This Row],[ต้นทุนค่าขายอุปกรณ์]])*$M$4,0)</f>
        <v>0</v>
      </c>
      <c r="N24" s="51">
        <f>SUM(Table1351452010[[#This Row],[คอมฯอุปกรณ์
 5%]:[คอมฯ อุปกรณ์
25%]])</f>
        <v>0</v>
      </c>
      <c r="O24" s="269"/>
      <c r="P24" s="269"/>
      <c r="Q24"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4" s="257">
        <f>SUM(Table1351452010[[#This Row],[รายการเบิก
คอมขาย]],Table1351452010[[#This Row],[Total
คอมฯ อุปกรณ์]])+Table1351452010[[#This Row],[Total 
คอมฯค่าติดตั้ง/ค่าเชื่อมสัญญาณ]]</f>
        <v>0</v>
      </c>
      <c r="S24" s="270"/>
      <c r="T24" s="270"/>
      <c r="U24" s="271"/>
    </row>
    <row r="25" spans="1:22" s="259" customFormat="1" ht="27" hidden="1" customHeight="1">
      <c r="A25" s="277">
        <v>8.1</v>
      </c>
      <c r="B25" s="288"/>
      <c r="C25" s="21"/>
      <c r="D25" s="284"/>
      <c r="E25" s="43"/>
      <c r="F25" s="43"/>
      <c r="G25" s="289"/>
      <c r="H25" s="260"/>
      <c r="I25" s="260"/>
      <c r="J25" s="154"/>
      <c r="K25" s="392"/>
      <c r="L25" s="261"/>
      <c r="M25" s="262"/>
      <c r="N25" s="52"/>
      <c r="O25" s="52"/>
      <c r="P25" s="52"/>
      <c r="Q25" s="52"/>
      <c r="R25" s="263" t="s">
        <v>108</v>
      </c>
      <c r="S25" s="136"/>
      <c r="T25" s="273"/>
      <c r="U25" s="274"/>
      <c r="V25" s="3"/>
    </row>
    <row r="26" spans="1:22" s="259" customFormat="1" ht="27" hidden="1" customHeight="1" thickBot="1">
      <c r="A26" s="278">
        <v>8.1999999999999993</v>
      </c>
      <c r="B26" s="285"/>
      <c r="C26" s="286"/>
      <c r="D26" s="287"/>
      <c r="E26" s="41"/>
      <c r="F26" s="43"/>
      <c r="G26" s="46"/>
      <c r="H26" s="265"/>
      <c r="I26" s="265"/>
      <c r="J26" s="43"/>
      <c r="K26" s="393"/>
      <c r="L26" s="262"/>
      <c r="M26" s="262"/>
      <c r="N26" s="53"/>
      <c r="O26" s="53"/>
      <c r="P26" s="53"/>
      <c r="Q26" s="53"/>
      <c r="R26" s="266"/>
      <c r="S26" s="136"/>
      <c r="T26" s="273"/>
      <c r="U26" s="267"/>
      <c r="V26" s="3"/>
    </row>
    <row r="27" spans="1:22" s="3" customFormat="1" ht="27.45" hidden="1" customHeight="1">
      <c r="A27" s="276">
        <v>6</v>
      </c>
      <c r="B27" s="268"/>
      <c r="C27" s="20"/>
      <c r="D27" s="34"/>
      <c r="E27" s="34"/>
      <c r="F27" s="280"/>
      <c r="G27" s="398"/>
      <c r="H27" s="256"/>
      <c r="I27" s="256">
        <f>Table1351452010[[#This Row],[ค่าบริการรายเดือนตาม Package]]+Table1351452010[[#This Row],[รายการเบิก
คอมขายเพิ่มเติม
(เป้าตามกำหนด)
100-200%]]</f>
        <v>0</v>
      </c>
      <c r="J27" s="42"/>
      <c r="K27" s="280"/>
      <c r="L27" s="281">
        <f>IF(Table1351452010[[#This Row],[ค่าขายอุปกรณ์]]&gt;Table1351452010[[#This Row],[ต้นทุนค่าขายอุปกรณ์]],Table1351452010[[#This Row],[ต้นทุนค่าขายอุปกรณ์]]*$L$4,Table1351452010[[#This Row],[ค่าขายอุปกรณ์]]*$L$4)</f>
        <v>0</v>
      </c>
      <c r="M27" s="282">
        <f>IF(Table1351452010[[#This Row],[ค่าขายอุปกรณ์]]&gt;Table1351452010[[#This Row],[ต้นทุนค่าขายอุปกรณ์]],SUM(Table1351452010[[#This Row],[ค่าขายอุปกรณ์]]-Table1351452010[[#This Row],[ต้นทุนค่าขายอุปกรณ์]])*$M$4,0)</f>
        <v>0</v>
      </c>
      <c r="N27" s="51">
        <f>SUM(Table1351452010[[#This Row],[คอมฯอุปกรณ์
 5%]:[คอมฯ อุปกรณ์
25%]])</f>
        <v>0</v>
      </c>
      <c r="O27" s="269"/>
      <c r="P27" s="269"/>
      <c r="Q27"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27" s="257">
        <f>SUM(Table1351452010[[#This Row],[รายการเบิก
คอมขาย]],Table1351452010[[#This Row],[Total
คอมฯ อุปกรณ์]])+Table1351452010[[#This Row],[Total 
คอมฯค่าติดตั้ง/ค่าเชื่อมสัญญาณ]]</f>
        <v>0</v>
      </c>
      <c r="S27" s="270"/>
      <c r="T27" s="270"/>
      <c r="U27" s="271"/>
    </row>
    <row r="28" spans="1:22" s="259" customFormat="1" ht="27" hidden="1" customHeight="1">
      <c r="A28" s="277">
        <v>8.1</v>
      </c>
      <c r="B28" s="290"/>
      <c r="C28" s="21"/>
      <c r="D28" s="284"/>
      <c r="E28" s="43"/>
      <c r="F28" s="43"/>
      <c r="G28" s="46"/>
      <c r="H28" s="260"/>
      <c r="I28" s="260"/>
      <c r="J28" s="154"/>
      <c r="K28" s="392"/>
      <c r="L28" s="261"/>
      <c r="M28" s="262"/>
      <c r="N28" s="52"/>
      <c r="O28" s="52"/>
      <c r="P28" s="52"/>
      <c r="Q28" s="52"/>
      <c r="R28" s="263" t="s">
        <v>108</v>
      </c>
      <c r="S28" s="136"/>
      <c r="T28" s="273"/>
      <c r="U28" s="274"/>
      <c r="V28" s="3"/>
    </row>
    <row r="29" spans="1:22" s="259" customFormat="1" ht="27" hidden="1" customHeight="1" thickBot="1">
      <c r="A29" s="278">
        <v>8.1999999999999993</v>
      </c>
      <c r="B29" s="291"/>
      <c r="C29" s="286"/>
      <c r="D29" s="287"/>
      <c r="E29" s="41"/>
      <c r="F29" s="43"/>
      <c r="G29" s="46"/>
      <c r="H29" s="265"/>
      <c r="I29" s="265"/>
      <c r="J29" s="43"/>
      <c r="K29" s="393"/>
      <c r="L29" s="262"/>
      <c r="M29" s="262"/>
      <c r="N29" s="53"/>
      <c r="O29" s="53"/>
      <c r="P29" s="53"/>
      <c r="Q29" s="53"/>
      <c r="R29" s="266"/>
      <c r="S29" s="136"/>
      <c r="T29" s="273"/>
      <c r="U29" s="267"/>
      <c r="V29" s="3"/>
    </row>
    <row r="30" spans="1:22" s="3" customFormat="1" ht="27.45" hidden="1" customHeight="1">
      <c r="A30" s="276">
        <v>7</v>
      </c>
      <c r="B30" s="268"/>
      <c r="C30" s="20"/>
      <c r="D30" s="34"/>
      <c r="E30" s="34"/>
      <c r="F30" s="280"/>
      <c r="G30" s="398"/>
      <c r="H30" s="256"/>
      <c r="I30" s="256">
        <f>Table1351452010[[#This Row],[ค่าบริการรายเดือนตาม Package]]+Table1351452010[[#This Row],[รายการเบิก
คอมขายเพิ่มเติม
(เป้าตามกำหนด)
100-200%]]</f>
        <v>0</v>
      </c>
      <c r="J30" s="42"/>
      <c r="K30" s="280"/>
      <c r="L30" s="281">
        <f>IF(Table1351452010[[#This Row],[ค่าขายอุปกรณ์]]&gt;Table1351452010[[#This Row],[ต้นทุนค่าขายอุปกรณ์]],Table1351452010[[#This Row],[ต้นทุนค่าขายอุปกรณ์]]*$L$4,Table1351452010[[#This Row],[ค่าขายอุปกรณ์]]*$L$4)</f>
        <v>0</v>
      </c>
      <c r="M30" s="282">
        <f>IF(Table1351452010[[#This Row],[ค่าขายอุปกรณ์]]&gt;Table1351452010[[#This Row],[ต้นทุนค่าขายอุปกรณ์]],SUM(Table1351452010[[#This Row],[ค่าขายอุปกรณ์]]-Table1351452010[[#This Row],[ต้นทุนค่าขายอุปกรณ์]])*$M$4,0)</f>
        <v>0</v>
      </c>
      <c r="N30" s="51">
        <f>SUM(Table1351452010[[#This Row],[คอมฯอุปกรณ์
 5%]:[คอมฯ อุปกรณ์
25%]])</f>
        <v>0</v>
      </c>
      <c r="O30" s="269"/>
      <c r="P30" s="269"/>
      <c r="Q30"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0" s="257">
        <f>SUM(Table1351452010[[#This Row],[รายการเบิก
คอมขาย]],Table1351452010[[#This Row],[Total
คอมฯ อุปกรณ์]])+Table1351452010[[#This Row],[Total 
คอมฯค่าติดตั้ง/ค่าเชื่อมสัญญาณ]]</f>
        <v>0</v>
      </c>
      <c r="S30" s="270"/>
      <c r="T30" s="270"/>
      <c r="U30" s="271"/>
    </row>
    <row r="31" spans="1:22" s="259" customFormat="1" ht="27" hidden="1" customHeight="1">
      <c r="A31" s="277">
        <v>8.1</v>
      </c>
      <c r="B31" s="290"/>
      <c r="C31" s="21"/>
      <c r="D31" s="43"/>
      <c r="E31" s="43"/>
      <c r="F31" s="43"/>
      <c r="G31" s="46"/>
      <c r="H31" s="260"/>
      <c r="I31" s="260"/>
      <c r="J31" s="154"/>
      <c r="K31" s="392"/>
      <c r="L31" s="261"/>
      <c r="M31" s="262"/>
      <c r="N31" s="52"/>
      <c r="O31" s="52"/>
      <c r="P31" s="52"/>
      <c r="Q31" s="52"/>
      <c r="R31" s="263" t="s">
        <v>108</v>
      </c>
      <c r="S31" s="136"/>
      <c r="T31" s="273"/>
      <c r="U31" s="274"/>
      <c r="V31" s="3"/>
    </row>
    <row r="32" spans="1:22" s="259" customFormat="1" ht="27" hidden="1" customHeight="1" thickBot="1">
      <c r="A32" s="278">
        <v>8.1999999999999993</v>
      </c>
      <c r="B32" s="291"/>
      <c r="C32" s="286"/>
      <c r="D32" s="287"/>
      <c r="E32" s="41"/>
      <c r="F32" s="43"/>
      <c r="G32" s="46"/>
      <c r="H32" s="265"/>
      <c r="I32" s="265"/>
      <c r="J32" s="43"/>
      <c r="K32" s="393"/>
      <c r="L32" s="262"/>
      <c r="M32" s="262"/>
      <c r="N32" s="53"/>
      <c r="O32" s="53"/>
      <c r="P32" s="53"/>
      <c r="Q32" s="53"/>
      <c r="R32" s="266"/>
      <c r="S32" s="136"/>
      <c r="T32" s="273"/>
      <c r="U32" s="267"/>
      <c r="V32" s="3"/>
    </row>
    <row r="33" spans="1:22" s="3" customFormat="1" ht="27.45" hidden="1" customHeight="1">
      <c r="A33" s="276">
        <v>8</v>
      </c>
      <c r="B33" s="293"/>
      <c r="C33" s="20"/>
      <c r="D33" s="34"/>
      <c r="E33" s="34"/>
      <c r="F33" s="280"/>
      <c r="G33" s="398"/>
      <c r="H33" s="256"/>
      <c r="I33" s="256">
        <f>Table1351452010[[#This Row],[ค่าบริการรายเดือนตาม Package]]+Table1351452010[[#This Row],[รายการเบิก
คอมขายเพิ่มเติม
(เป้าตามกำหนด)
100-200%]]</f>
        <v>0</v>
      </c>
      <c r="J33" s="42"/>
      <c r="K33" s="280"/>
      <c r="L33" s="281">
        <f>IF(Table1351452010[[#This Row],[ค่าขายอุปกรณ์]]&gt;Table1351452010[[#This Row],[ต้นทุนค่าขายอุปกรณ์]],Table1351452010[[#This Row],[ต้นทุนค่าขายอุปกรณ์]]*$L$4,Table1351452010[[#This Row],[ค่าขายอุปกรณ์]]*$L$4)</f>
        <v>0</v>
      </c>
      <c r="M33" s="282">
        <f>IF(Table1351452010[[#This Row],[ค่าขายอุปกรณ์]]&gt;Table1351452010[[#This Row],[ต้นทุนค่าขายอุปกรณ์]],SUM(Table1351452010[[#This Row],[ค่าขายอุปกรณ์]]-Table1351452010[[#This Row],[ต้นทุนค่าขายอุปกรณ์]])*$M$4,0)</f>
        <v>0</v>
      </c>
      <c r="N33" s="51">
        <f>SUM(Table1351452010[[#This Row],[คอมฯอุปกรณ์
 5%]:[คอมฯ อุปกรณ์
25%]])</f>
        <v>0</v>
      </c>
      <c r="O33" s="269"/>
      <c r="P33" s="269"/>
      <c r="Q33"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3" s="257">
        <f>SUM(Table1351452010[[#This Row],[รายการเบิก
คอมขาย]],Table1351452010[[#This Row],[Total
คอมฯ อุปกรณ์]])+Table1351452010[[#This Row],[Total 
คอมฯค่าติดตั้ง/ค่าเชื่อมสัญญาณ]]</f>
        <v>0</v>
      </c>
      <c r="S33" s="270"/>
      <c r="T33" s="270"/>
      <c r="U33" s="271"/>
    </row>
    <row r="34" spans="1:22" s="259" customFormat="1" ht="27" hidden="1" customHeight="1">
      <c r="A34" s="277">
        <v>8.1</v>
      </c>
      <c r="B34" s="290"/>
      <c r="C34" s="21"/>
      <c r="D34" s="43"/>
      <c r="E34" s="43"/>
      <c r="F34" s="43"/>
      <c r="G34" s="46"/>
      <c r="H34" s="260"/>
      <c r="I34" s="260"/>
      <c r="J34" s="154"/>
      <c r="K34" s="392"/>
      <c r="L34" s="261"/>
      <c r="M34" s="262"/>
      <c r="N34" s="52"/>
      <c r="O34" s="52"/>
      <c r="P34" s="52"/>
      <c r="Q34" s="52"/>
      <c r="R34" s="263" t="s">
        <v>108</v>
      </c>
      <c r="S34" s="136"/>
      <c r="T34" s="273"/>
      <c r="U34" s="274"/>
      <c r="V34" s="3"/>
    </row>
    <row r="35" spans="1:22" s="259" customFormat="1" ht="27" hidden="1" customHeight="1" thickBot="1">
      <c r="A35" s="278">
        <v>8.1999999999999993</v>
      </c>
      <c r="B35" s="291"/>
      <c r="C35" s="286"/>
      <c r="D35" s="287"/>
      <c r="E35" s="41"/>
      <c r="F35" s="43"/>
      <c r="G35" s="46"/>
      <c r="H35" s="265"/>
      <c r="I35" s="265"/>
      <c r="J35" s="43"/>
      <c r="K35" s="393"/>
      <c r="L35" s="262"/>
      <c r="M35" s="262"/>
      <c r="N35" s="53"/>
      <c r="O35" s="53"/>
      <c r="P35" s="53"/>
      <c r="Q35" s="53"/>
      <c r="R35" s="266"/>
      <c r="S35" s="136"/>
      <c r="T35" s="273"/>
      <c r="U35" s="267"/>
      <c r="V35" s="3"/>
    </row>
    <row r="36" spans="1:22" s="3" customFormat="1" ht="27.45" hidden="1" customHeight="1">
      <c r="A36" s="276">
        <v>9</v>
      </c>
      <c r="B36" s="293"/>
      <c r="C36" s="20"/>
      <c r="D36" s="34"/>
      <c r="E36" s="34"/>
      <c r="F36" s="280"/>
      <c r="G36" s="398"/>
      <c r="H36" s="256"/>
      <c r="I36" s="256">
        <f>Table1351452010[[#This Row],[ค่าบริการรายเดือนตาม Package]]+Table1351452010[[#This Row],[รายการเบิก
คอมขายเพิ่มเติม
(เป้าตามกำหนด)
100-200%]]</f>
        <v>0</v>
      </c>
      <c r="J36" s="42"/>
      <c r="K36" s="280"/>
      <c r="L36" s="281">
        <f>IF(Table1351452010[[#This Row],[ค่าขายอุปกรณ์]]&gt;Table1351452010[[#This Row],[ต้นทุนค่าขายอุปกรณ์]],Table1351452010[[#This Row],[ต้นทุนค่าขายอุปกรณ์]]*$L$4,Table1351452010[[#This Row],[ค่าขายอุปกรณ์]]*$L$4)</f>
        <v>0</v>
      </c>
      <c r="M36" s="282">
        <f>IF(Table1351452010[[#This Row],[ค่าขายอุปกรณ์]]&gt;Table1351452010[[#This Row],[ต้นทุนค่าขายอุปกรณ์]],SUM(Table1351452010[[#This Row],[ค่าขายอุปกรณ์]]-Table1351452010[[#This Row],[ต้นทุนค่าขายอุปกรณ์]])*$M$4,0)</f>
        <v>0</v>
      </c>
      <c r="N36" s="51">
        <f>SUM(Table1351452010[[#This Row],[คอมฯอุปกรณ์
 5%]:[คอมฯ อุปกรณ์
25%]])</f>
        <v>0</v>
      </c>
      <c r="O36" s="269"/>
      <c r="P36" s="269"/>
      <c r="Q36"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6" s="257">
        <f>SUM(Table1351452010[[#This Row],[รายการเบิก
คอมขาย]],Table1351452010[[#This Row],[Total
คอมฯ อุปกรณ์]])+Table1351452010[[#This Row],[Total 
คอมฯค่าติดตั้ง/ค่าเชื่อมสัญญาณ]]</f>
        <v>0</v>
      </c>
      <c r="S36" s="270"/>
      <c r="T36" s="270"/>
      <c r="U36" s="271"/>
    </row>
    <row r="37" spans="1:22" s="259" customFormat="1" ht="27" hidden="1" customHeight="1">
      <c r="A37" s="277">
        <v>8.1</v>
      </c>
      <c r="B37" s="290"/>
      <c r="C37" s="21"/>
      <c r="D37" s="43"/>
      <c r="E37" s="43"/>
      <c r="F37" s="43"/>
      <c r="G37" s="46"/>
      <c r="H37" s="260"/>
      <c r="I37" s="260"/>
      <c r="J37" s="154"/>
      <c r="K37" s="155"/>
      <c r="L37" s="261"/>
      <c r="M37" s="262"/>
      <c r="N37" s="52"/>
      <c r="O37" s="52"/>
      <c r="P37" s="52"/>
      <c r="Q37" s="52"/>
      <c r="R37" s="263" t="s">
        <v>108</v>
      </c>
      <c r="S37" s="136"/>
      <c r="T37" s="273"/>
      <c r="U37" s="274"/>
      <c r="V37" s="3"/>
    </row>
    <row r="38" spans="1:22" s="259" customFormat="1" ht="27" hidden="1" customHeight="1" thickBot="1">
      <c r="A38" s="278">
        <v>8.1999999999999993</v>
      </c>
      <c r="B38" s="291"/>
      <c r="C38" s="286"/>
      <c r="D38" s="287"/>
      <c r="E38" s="41"/>
      <c r="F38" s="43"/>
      <c r="G38" s="46"/>
      <c r="H38" s="265"/>
      <c r="I38" s="265"/>
      <c r="J38" s="43"/>
      <c r="K38" s="43"/>
      <c r="L38" s="262"/>
      <c r="M38" s="262"/>
      <c r="N38" s="53"/>
      <c r="O38" s="53"/>
      <c r="P38" s="53"/>
      <c r="Q38" s="53"/>
      <c r="R38" s="266"/>
      <c r="S38" s="136"/>
      <c r="T38" s="273"/>
      <c r="U38" s="267"/>
      <c r="V38" s="3"/>
    </row>
    <row r="39" spans="1:22" s="3" customFormat="1" ht="27.45" hidden="1" customHeight="1">
      <c r="A39" s="276">
        <v>10</v>
      </c>
      <c r="B39" s="293"/>
      <c r="C39" s="20"/>
      <c r="D39" s="34"/>
      <c r="E39" s="34"/>
      <c r="F39" s="280"/>
      <c r="G39" s="398"/>
      <c r="H39" s="256"/>
      <c r="I39" s="256">
        <f>Table1351452010[[#This Row],[ค่าบริการรายเดือนตาม Package]]+Table1351452010[[#This Row],[รายการเบิก
คอมขายเพิ่มเติม
(เป้าตามกำหนด)
100-200%]]</f>
        <v>0</v>
      </c>
      <c r="J39" s="42"/>
      <c r="K39" s="280"/>
      <c r="L39" s="281">
        <f>IF(Table1351452010[[#This Row],[ค่าขายอุปกรณ์]]&gt;Table1351452010[[#This Row],[ต้นทุนค่าขายอุปกรณ์]],Table1351452010[[#This Row],[ต้นทุนค่าขายอุปกรณ์]]*$L$4,Table1351452010[[#This Row],[ค่าขายอุปกรณ์]]*$L$4)</f>
        <v>0</v>
      </c>
      <c r="M39" s="282">
        <f>IF(Table1351452010[[#This Row],[ค่าขายอุปกรณ์]]&gt;Table1351452010[[#This Row],[ต้นทุนค่าขายอุปกรณ์]],SUM(Table1351452010[[#This Row],[ค่าขายอุปกรณ์]]-Table1351452010[[#This Row],[ต้นทุนค่าขายอุปกรณ์]])*$M$4,0)</f>
        <v>0</v>
      </c>
      <c r="N39" s="51">
        <f>SUM(Table1351452010[[#This Row],[คอมฯอุปกรณ์
 5%]:[คอมฯ อุปกรณ์
25%]])</f>
        <v>0</v>
      </c>
      <c r="O39" s="269"/>
      <c r="P39" s="269"/>
      <c r="Q39"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39" s="257">
        <f>SUM(Table1351452010[[#This Row],[รายการเบิก
คอมขาย]],Table1351452010[[#This Row],[Total
คอมฯ อุปกรณ์]])+Table1351452010[[#This Row],[Total 
คอมฯค่าติดตั้ง/ค่าเชื่อมสัญญาณ]]</f>
        <v>0</v>
      </c>
      <c r="S39" s="270"/>
      <c r="T39" s="270"/>
      <c r="U39" s="271"/>
    </row>
    <row r="40" spans="1:22" s="259" customFormat="1" ht="27" hidden="1" customHeight="1">
      <c r="A40" s="277"/>
      <c r="B40" s="290"/>
      <c r="C40" s="21"/>
      <c r="D40" s="43"/>
      <c r="E40" s="43"/>
      <c r="F40" s="43"/>
      <c r="G40" s="46"/>
      <c r="H40" s="260"/>
      <c r="I40" s="260"/>
      <c r="J40" s="154"/>
      <c r="K40" s="155"/>
      <c r="L40" s="261"/>
      <c r="M40" s="262"/>
      <c r="N40" s="52"/>
      <c r="O40" s="52"/>
      <c r="P40" s="52"/>
      <c r="Q40" s="52"/>
      <c r="R40" s="263" t="s">
        <v>108</v>
      </c>
      <c r="S40" s="136"/>
      <c r="T40" s="273"/>
      <c r="U40" s="274"/>
      <c r="V40" s="3"/>
    </row>
    <row r="41" spans="1:22" s="259" customFormat="1" ht="27" hidden="1" customHeight="1" thickBot="1">
      <c r="A41" s="278"/>
      <c r="B41" s="291"/>
      <c r="C41" s="286"/>
      <c r="D41" s="287"/>
      <c r="E41" s="41"/>
      <c r="F41" s="43"/>
      <c r="G41" s="46"/>
      <c r="H41" s="265"/>
      <c r="I41" s="265"/>
      <c r="J41" s="43"/>
      <c r="K41" s="43"/>
      <c r="L41" s="262"/>
      <c r="M41" s="262"/>
      <c r="N41" s="53"/>
      <c r="O41" s="53"/>
      <c r="P41" s="53"/>
      <c r="Q41" s="53"/>
      <c r="R41" s="266"/>
      <c r="S41" s="136"/>
      <c r="T41" s="273"/>
      <c r="U41" s="267"/>
      <c r="V41" s="3"/>
    </row>
    <row r="42" spans="1:22" s="3" customFormat="1" ht="27.45" hidden="1" customHeight="1">
      <c r="A42" s="276">
        <v>11</v>
      </c>
      <c r="B42" s="292"/>
      <c r="C42" s="20"/>
      <c r="D42" s="34"/>
      <c r="E42" s="34"/>
      <c r="F42" s="280"/>
      <c r="G42" s="398"/>
      <c r="H42" s="256"/>
      <c r="I42" s="256">
        <f>Table1351452010[[#This Row],[ค่าบริการรายเดือนตาม Package]]+Table1351452010[[#This Row],[รายการเบิก
คอมขายเพิ่มเติม
(เป้าตามกำหนด)
100-200%]]</f>
        <v>0</v>
      </c>
      <c r="J42" s="42"/>
      <c r="K42" s="280"/>
      <c r="L42" s="281">
        <f>IF(Table1351452010[[#This Row],[ค่าขายอุปกรณ์]]&gt;Table1351452010[[#This Row],[ต้นทุนค่าขายอุปกรณ์]],Table1351452010[[#This Row],[ต้นทุนค่าขายอุปกรณ์]]*$L$4,Table1351452010[[#This Row],[ค่าขายอุปกรณ์]]*$L$4)</f>
        <v>0</v>
      </c>
      <c r="M42" s="282">
        <f>IF(Table1351452010[[#This Row],[ค่าขายอุปกรณ์]]&gt;Table1351452010[[#This Row],[ต้นทุนค่าขายอุปกรณ์]],SUM(Table1351452010[[#This Row],[ค่าขายอุปกรณ์]]-Table1351452010[[#This Row],[ต้นทุนค่าขายอุปกรณ์]])*$M$4,0)</f>
        <v>0</v>
      </c>
      <c r="N42" s="51">
        <f>SUM(Table1351452010[[#This Row],[คอมฯอุปกรณ์
 5%]:[คอมฯ อุปกรณ์
25%]])</f>
        <v>0</v>
      </c>
      <c r="O42" s="269"/>
      <c r="P42" s="269"/>
      <c r="Q42"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2" s="257">
        <f>SUM(Table1351452010[[#This Row],[รายการเบิก
คอมขาย]],Table1351452010[[#This Row],[Total
คอมฯ อุปกรณ์]])+Table1351452010[[#This Row],[Total 
คอมฯค่าติดตั้ง/ค่าเชื่อมสัญญาณ]]</f>
        <v>0</v>
      </c>
      <c r="S42" s="270"/>
      <c r="T42" s="270"/>
      <c r="U42" s="271"/>
    </row>
    <row r="43" spans="1:22" s="259" customFormat="1" ht="27" hidden="1" customHeight="1">
      <c r="A43" s="277"/>
      <c r="B43" s="290"/>
      <c r="C43" s="21"/>
      <c r="D43" s="43"/>
      <c r="E43" s="43"/>
      <c r="F43" s="43"/>
      <c r="G43" s="46"/>
      <c r="H43" s="260"/>
      <c r="I43" s="260"/>
      <c r="J43" s="154"/>
      <c r="K43" s="155"/>
      <c r="L43" s="261"/>
      <c r="M43" s="262"/>
      <c r="N43" s="52"/>
      <c r="O43" s="52"/>
      <c r="P43" s="52"/>
      <c r="Q43" s="52"/>
      <c r="R43" s="263" t="s">
        <v>108</v>
      </c>
      <c r="S43" s="136"/>
      <c r="T43" s="273"/>
      <c r="U43" s="274"/>
      <c r="V43" s="3"/>
    </row>
    <row r="44" spans="1:22" s="259" customFormat="1" ht="27" hidden="1" customHeight="1" thickBot="1">
      <c r="A44" s="278"/>
      <c r="B44" s="291"/>
      <c r="C44" s="286"/>
      <c r="D44" s="287"/>
      <c r="E44" s="41"/>
      <c r="F44" s="43"/>
      <c r="G44" s="46"/>
      <c r="H44" s="265"/>
      <c r="I44" s="265"/>
      <c r="J44" s="43"/>
      <c r="K44" s="43"/>
      <c r="L44" s="262"/>
      <c r="M44" s="262"/>
      <c r="N44" s="53"/>
      <c r="O44" s="53"/>
      <c r="P44" s="53"/>
      <c r="Q44" s="53"/>
      <c r="R44" s="266"/>
      <c r="S44" s="136"/>
      <c r="T44" s="273"/>
      <c r="U44" s="267"/>
      <c r="V44" s="3"/>
    </row>
    <row r="45" spans="1:22" s="3" customFormat="1" ht="27.45" hidden="1" customHeight="1">
      <c r="A45" s="276">
        <v>12</v>
      </c>
      <c r="B45" s="292"/>
      <c r="C45" s="20"/>
      <c r="D45" s="34"/>
      <c r="E45" s="34"/>
      <c r="F45" s="280"/>
      <c r="G45" s="54"/>
      <c r="H45" s="256"/>
      <c r="I45" s="256">
        <f>Table1351452010[[#This Row],[ค่าบริการรายเดือนตาม Package]]+Table1351452010[[#This Row],[รายการเบิก
คอมขายเพิ่มเติม
(เป้าตามกำหนด)
100-200%]]</f>
        <v>0</v>
      </c>
      <c r="J45" s="42"/>
      <c r="K45" s="280"/>
      <c r="L45" s="281">
        <f>IF(Table1351452010[[#This Row],[ค่าขายอุปกรณ์]]&gt;Table1351452010[[#This Row],[ต้นทุนค่าขายอุปกรณ์]],Table1351452010[[#This Row],[ต้นทุนค่าขายอุปกรณ์]]*$L$4,Table1351452010[[#This Row],[ค่าขายอุปกรณ์]]*$L$4)</f>
        <v>0</v>
      </c>
      <c r="M45" s="282">
        <f>IF(Table1351452010[[#This Row],[ค่าขายอุปกรณ์]]&gt;Table1351452010[[#This Row],[ต้นทุนค่าขายอุปกรณ์]],SUM(Table1351452010[[#This Row],[ค่าขายอุปกรณ์]]-Table1351452010[[#This Row],[ต้นทุนค่าขายอุปกรณ์]])*$M$4,0)</f>
        <v>0</v>
      </c>
      <c r="N45" s="51">
        <f>SUM(Table1351452010[[#This Row],[คอมฯอุปกรณ์
 5%]:[คอมฯ อุปกรณ์
25%]])</f>
        <v>0</v>
      </c>
      <c r="O45" s="269"/>
      <c r="P45" s="269"/>
      <c r="Q45"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5" s="257">
        <f>SUM(Table1351452010[[#This Row],[รายการเบิก
คอมขาย]],Table1351452010[[#This Row],[Total
คอมฯ อุปกรณ์]])+Table1351452010[[#This Row],[Total 
คอมฯค่าติดตั้ง/ค่าเชื่อมสัญญาณ]]</f>
        <v>0</v>
      </c>
      <c r="S45" s="270"/>
      <c r="T45" s="270"/>
      <c r="U45" s="271"/>
    </row>
    <row r="46" spans="1:22" s="259" customFormat="1" ht="27" hidden="1" customHeight="1">
      <c r="A46" s="277"/>
      <c r="B46" s="290"/>
      <c r="C46" s="21"/>
      <c r="D46" s="43"/>
      <c r="E46" s="43"/>
      <c r="F46" s="43"/>
      <c r="G46" s="46"/>
      <c r="H46" s="260"/>
      <c r="I46" s="260"/>
      <c r="J46" s="154"/>
      <c r="K46" s="155"/>
      <c r="L46" s="261"/>
      <c r="M46" s="262"/>
      <c r="N46" s="52"/>
      <c r="O46" s="52"/>
      <c r="P46" s="52"/>
      <c r="Q46" s="52"/>
      <c r="R46" s="263" t="s">
        <v>108</v>
      </c>
      <c r="S46" s="136"/>
      <c r="T46" s="273"/>
      <c r="U46" s="274"/>
      <c r="V46" s="3"/>
    </row>
    <row r="47" spans="1:22" s="259" customFormat="1" ht="27" hidden="1" customHeight="1" thickBot="1">
      <c r="A47" s="278"/>
      <c r="B47" s="291"/>
      <c r="C47" s="286"/>
      <c r="D47" s="287"/>
      <c r="E47" s="41"/>
      <c r="F47" s="43"/>
      <c r="G47" s="46"/>
      <c r="H47" s="265"/>
      <c r="I47" s="265"/>
      <c r="J47" s="43"/>
      <c r="K47" s="43"/>
      <c r="L47" s="262"/>
      <c r="M47" s="262"/>
      <c r="N47" s="53"/>
      <c r="O47" s="53"/>
      <c r="P47" s="53"/>
      <c r="Q47" s="53"/>
      <c r="R47" s="266"/>
      <c r="S47" s="136"/>
      <c r="T47" s="273"/>
      <c r="U47" s="267"/>
      <c r="V47" s="3"/>
    </row>
    <row r="48" spans="1:22" s="3" customFormat="1" ht="27.45" hidden="1" customHeight="1">
      <c r="A48" s="276">
        <v>13</v>
      </c>
      <c r="B48" s="292"/>
      <c r="C48" s="20"/>
      <c r="D48" s="34"/>
      <c r="E48" s="34"/>
      <c r="F48" s="280"/>
      <c r="G48" s="398"/>
      <c r="H48" s="256"/>
      <c r="I48" s="256">
        <f>Table1351452010[[#This Row],[ค่าบริการรายเดือนตาม Package]]+Table1351452010[[#This Row],[รายการเบิก
คอมขายเพิ่มเติม
(เป้าตามกำหนด)
100-200%]]</f>
        <v>0</v>
      </c>
      <c r="J48" s="42"/>
      <c r="K48" s="280"/>
      <c r="L48" s="281">
        <f>IF(Table1351452010[[#This Row],[ค่าขายอุปกรณ์]]&gt;Table1351452010[[#This Row],[ต้นทุนค่าขายอุปกรณ์]],Table1351452010[[#This Row],[ต้นทุนค่าขายอุปกรณ์]]*$L$4,Table1351452010[[#This Row],[ค่าขายอุปกรณ์]]*$L$4)</f>
        <v>0</v>
      </c>
      <c r="M48" s="282">
        <f>IF(Table1351452010[[#This Row],[ค่าขายอุปกรณ์]]&gt;Table1351452010[[#This Row],[ต้นทุนค่าขายอุปกรณ์]],SUM(Table1351452010[[#This Row],[ค่าขายอุปกรณ์]]-Table1351452010[[#This Row],[ต้นทุนค่าขายอุปกรณ์]])*$M$4,0)</f>
        <v>0</v>
      </c>
      <c r="N48" s="51">
        <f>SUM(Table1351452010[[#This Row],[คอมฯอุปกรณ์
 5%]:[คอมฯ อุปกรณ์
25%]])</f>
        <v>0</v>
      </c>
      <c r="O48" s="269"/>
      <c r="P48" s="269"/>
      <c r="Q48"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48" s="257">
        <f>SUM(Table1351452010[[#This Row],[รายการเบิก
คอมขาย]],Table1351452010[[#This Row],[Total
คอมฯ อุปกรณ์]])+Table1351452010[[#This Row],[Total 
คอมฯค่าติดตั้ง/ค่าเชื่อมสัญญาณ]]</f>
        <v>0</v>
      </c>
      <c r="S48" s="270"/>
      <c r="T48" s="270"/>
      <c r="U48" s="271"/>
    </row>
    <row r="49" spans="1:22" s="259" customFormat="1" ht="27" hidden="1" customHeight="1">
      <c r="A49" s="277"/>
      <c r="B49" s="290"/>
      <c r="C49" s="21"/>
      <c r="D49" s="43"/>
      <c r="E49" s="43"/>
      <c r="F49" s="43"/>
      <c r="G49" s="46"/>
      <c r="H49" s="260"/>
      <c r="I49" s="260"/>
      <c r="J49" s="154"/>
      <c r="K49" s="155"/>
      <c r="L49" s="261"/>
      <c r="M49" s="262"/>
      <c r="N49" s="52"/>
      <c r="O49" s="52"/>
      <c r="P49" s="52"/>
      <c r="Q49" s="52"/>
      <c r="R49" s="263" t="s">
        <v>108</v>
      </c>
      <c r="S49" s="136"/>
      <c r="T49" s="273"/>
      <c r="U49" s="274"/>
      <c r="V49" s="3"/>
    </row>
    <row r="50" spans="1:22" s="259" customFormat="1" ht="27" hidden="1" customHeight="1" thickBot="1">
      <c r="A50" s="278"/>
      <c r="B50" s="291"/>
      <c r="C50" s="286"/>
      <c r="D50" s="287"/>
      <c r="E50" s="41"/>
      <c r="F50" s="43"/>
      <c r="G50" s="46"/>
      <c r="H50" s="265"/>
      <c r="I50" s="265"/>
      <c r="J50" s="43"/>
      <c r="K50" s="43"/>
      <c r="L50" s="262"/>
      <c r="M50" s="262"/>
      <c r="N50" s="53"/>
      <c r="O50" s="53"/>
      <c r="P50" s="53"/>
      <c r="Q50" s="53"/>
      <c r="R50" s="266"/>
      <c r="S50" s="136"/>
      <c r="T50" s="273"/>
      <c r="U50" s="267"/>
      <c r="V50" s="3"/>
    </row>
    <row r="51" spans="1:22" s="3" customFormat="1" ht="27.45" hidden="1" customHeight="1">
      <c r="A51" s="276">
        <v>14</v>
      </c>
      <c r="B51" s="292"/>
      <c r="C51" s="20"/>
      <c r="D51" s="34"/>
      <c r="E51" s="34"/>
      <c r="F51" s="280"/>
      <c r="G51" s="398"/>
      <c r="H51" s="256"/>
      <c r="I51" s="256">
        <f>Table1351452010[[#This Row],[ค่าบริการรายเดือนตาม Package]]+Table1351452010[[#This Row],[รายการเบิก
คอมขายเพิ่มเติม
(เป้าตามกำหนด)
100-200%]]</f>
        <v>0</v>
      </c>
      <c r="J51" s="42"/>
      <c r="K51" s="280"/>
      <c r="L51" s="281">
        <f>IF(Table1351452010[[#This Row],[ค่าขายอุปกรณ์]]&gt;Table1351452010[[#This Row],[ต้นทุนค่าขายอุปกรณ์]],Table1351452010[[#This Row],[ต้นทุนค่าขายอุปกรณ์]]*$L$4,Table1351452010[[#This Row],[ค่าขายอุปกรณ์]]*$L$4)</f>
        <v>0</v>
      </c>
      <c r="M51" s="282">
        <f>IF(Table1351452010[[#This Row],[ค่าขายอุปกรณ์]]&gt;Table1351452010[[#This Row],[ต้นทุนค่าขายอุปกรณ์]],SUM(Table1351452010[[#This Row],[ค่าขายอุปกรณ์]]-Table1351452010[[#This Row],[ต้นทุนค่าขายอุปกรณ์]])*$M$4,0)</f>
        <v>0</v>
      </c>
      <c r="N51" s="51">
        <f>SUM(Table1351452010[[#This Row],[คอมฯอุปกรณ์
 5%]:[คอมฯ อุปกรณ์
25%]])</f>
        <v>0</v>
      </c>
      <c r="O51" s="269"/>
      <c r="P51" s="269"/>
      <c r="Q51"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1" s="257">
        <f>SUM(Table1351452010[[#This Row],[รายการเบิก
คอมขาย]],Table1351452010[[#This Row],[Total
คอมฯ อุปกรณ์]])+Table1351452010[[#This Row],[Total 
คอมฯค่าติดตั้ง/ค่าเชื่อมสัญญาณ]]</f>
        <v>0</v>
      </c>
      <c r="S51" s="270"/>
      <c r="T51" s="270"/>
      <c r="U51" s="271"/>
    </row>
    <row r="52" spans="1:22" s="259" customFormat="1" ht="27" hidden="1" customHeight="1">
      <c r="A52" s="277"/>
      <c r="B52" s="290"/>
      <c r="C52" s="21"/>
      <c r="D52" s="43"/>
      <c r="E52" s="43"/>
      <c r="F52" s="43"/>
      <c r="G52" s="46"/>
      <c r="H52" s="260"/>
      <c r="I52" s="260"/>
      <c r="J52" s="154"/>
      <c r="K52" s="155"/>
      <c r="L52" s="261"/>
      <c r="M52" s="262"/>
      <c r="N52" s="52"/>
      <c r="O52" s="52"/>
      <c r="P52" s="52"/>
      <c r="Q52" s="52"/>
      <c r="R52" s="263" t="s">
        <v>108</v>
      </c>
      <c r="S52" s="136"/>
      <c r="T52" s="273"/>
      <c r="U52" s="274"/>
      <c r="V52" s="3"/>
    </row>
    <row r="53" spans="1:22" s="259" customFormat="1" ht="27" hidden="1" customHeight="1" thickBot="1">
      <c r="A53" s="278"/>
      <c r="B53" s="291"/>
      <c r="C53" s="286"/>
      <c r="D53" s="287"/>
      <c r="E53" s="41"/>
      <c r="F53" s="43"/>
      <c r="G53" s="46"/>
      <c r="H53" s="265"/>
      <c r="I53" s="265"/>
      <c r="J53" s="43"/>
      <c r="K53" s="43"/>
      <c r="L53" s="262"/>
      <c r="M53" s="262"/>
      <c r="N53" s="53"/>
      <c r="O53" s="53"/>
      <c r="P53" s="53"/>
      <c r="Q53" s="53"/>
      <c r="R53" s="266"/>
      <c r="S53" s="136"/>
      <c r="T53" s="273"/>
      <c r="U53" s="267"/>
      <c r="V53" s="3"/>
    </row>
    <row r="54" spans="1:22" s="3" customFormat="1" ht="27.45" hidden="1" customHeight="1">
      <c r="A54" s="276">
        <v>15</v>
      </c>
      <c r="B54" s="292"/>
      <c r="C54" s="20"/>
      <c r="D54" s="34"/>
      <c r="E54" s="34"/>
      <c r="F54" s="280"/>
      <c r="G54" s="398"/>
      <c r="H54" s="256"/>
      <c r="I54" s="256">
        <f>Table1351452010[[#This Row],[ค่าบริการรายเดือนตาม Package]]+Table1351452010[[#This Row],[รายการเบิก
คอมขายเพิ่มเติม
(เป้าตามกำหนด)
100-200%]]</f>
        <v>0</v>
      </c>
      <c r="J54" s="42"/>
      <c r="K54" s="280"/>
      <c r="L54" s="281">
        <f>IF(Table1351452010[[#This Row],[ค่าขายอุปกรณ์]]&gt;Table1351452010[[#This Row],[ต้นทุนค่าขายอุปกรณ์]],Table1351452010[[#This Row],[ต้นทุนค่าขายอุปกรณ์]]*$L$4,Table1351452010[[#This Row],[ค่าขายอุปกรณ์]]*$L$4)</f>
        <v>0</v>
      </c>
      <c r="M54" s="282">
        <f>IF(Table1351452010[[#This Row],[ค่าขายอุปกรณ์]]&gt;Table1351452010[[#This Row],[ต้นทุนค่าขายอุปกรณ์]],SUM(Table1351452010[[#This Row],[ค่าขายอุปกรณ์]]-Table1351452010[[#This Row],[ต้นทุนค่าขายอุปกรณ์]])*$M$4,0)</f>
        <v>0</v>
      </c>
      <c r="N54" s="51">
        <f>SUM(Table1351452010[[#This Row],[คอมฯอุปกรณ์
 5%]:[คอมฯ อุปกรณ์
25%]])</f>
        <v>0</v>
      </c>
      <c r="O54" s="269"/>
      <c r="P54" s="269"/>
      <c r="Q54"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4" s="257">
        <f>SUM(Table1351452010[[#This Row],[รายการเบิก
คอมขาย]],Table1351452010[[#This Row],[Total
คอมฯ อุปกรณ์]])+Table1351452010[[#This Row],[Total 
คอมฯค่าติดตั้ง/ค่าเชื่อมสัญญาณ]]</f>
        <v>0</v>
      </c>
      <c r="S54" s="270"/>
      <c r="T54" s="270"/>
      <c r="U54" s="271"/>
    </row>
    <row r="55" spans="1:22" s="259" customFormat="1" ht="27" hidden="1" customHeight="1">
      <c r="A55" s="277"/>
      <c r="B55" s="290"/>
      <c r="C55" s="21"/>
      <c r="D55" s="43"/>
      <c r="E55" s="43"/>
      <c r="F55" s="43"/>
      <c r="G55" s="46"/>
      <c r="H55" s="260"/>
      <c r="I55" s="260"/>
      <c r="J55" s="154"/>
      <c r="K55" s="155"/>
      <c r="L55" s="261"/>
      <c r="M55" s="262"/>
      <c r="N55" s="52"/>
      <c r="O55" s="52"/>
      <c r="P55" s="52"/>
      <c r="Q55" s="52"/>
      <c r="R55" s="263" t="s">
        <v>108</v>
      </c>
      <c r="S55" s="136"/>
      <c r="T55" s="273"/>
      <c r="U55" s="274"/>
      <c r="V55" s="3"/>
    </row>
    <row r="56" spans="1:22" s="259" customFormat="1" ht="27" hidden="1" customHeight="1" thickBot="1">
      <c r="A56" s="278"/>
      <c r="B56" s="291"/>
      <c r="C56" s="286"/>
      <c r="D56" s="287"/>
      <c r="E56" s="41"/>
      <c r="F56" s="43"/>
      <c r="G56" s="46"/>
      <c r="H56" s="265"/>
      <c r="I56" s="265"/>
      <c r="J56" s="43"/>
      <c r="K56" s="43"/>
      <c r="L56" s="262"/>
      <c r="M56" s="262"/>
      <c r="N56" s="53"/>
      <c r="O56" s="53"/>
      <c r="P56" s="53"/>
      <c r="Q56" s="53"/>
      <c r="R56" s="266"/>
      <c r="S56" s="136"/>
      <c r="T56" s="273"/>
      <c r="U56" s="267"/>
      <c r="V56" s="3"/>
    </row>
    <row r="57" spans="1:22" s="3" customFormat="1" ht="27.45" hidden="1" customHeight="1">
      <c r="A57" s="276">
        <v>16</v>
      </c>
      <c r="B57" s="292"/>
      <c r="C57" s="20"/>
      <c r="D57" s="34"/>
      <c r="E57" s="34"/>
      <c r="F57" s="280"/>
      <c r="G57" s="398"/>
      <c r="H57" s="256"/>
      <c r="I57" s="256">
        <f>Table1351452010[[#This Row],[ค่าบริการรายเดือนตาม Package]]+Table1351452010[[#This Row],[รายการเบิก
คอมขายเพิ่มเติม
(เป้าตามกำหนด)
100-200%]]</f>
        <v>0</v>
      </c>
      <c r="J57" s="42"/>
      <c r="K57" s="280"/>
      <c r="L57" s="281">
        <f>IF(Table1351452010[[#This Row],[ค่าขายอุปกรณ์]]&gt;Table1351452010[[#This Row],[ต้นทุนค่าขายอุปกรณ์]],Table1351452010[[#This Row],[ต้นทุนค่าขายอุปกรณ์]]*$L$4,Table1351452010[[#This Row],[ค่าขายอุปกรณ์]]*$L$4)</f>
        <v>0</v>
      </c>
      <c r="M57" s="282">
        <f>IF(Table1351452010[[#This Row],[ค่าขายอุปกรณ์]]&gt;Table1351452010[[#This Row],[ต้นทุนค่าขายอุปกรณ์]],SUM(Table1351452010[[#This Row],[ค่าขายอุปกรณ์]]-Table1351452010[[#This Row],[ต้นทุนค่าขายอุปกรณ์]])*$M$4,0)</f>
        <v>0</v>
      </c>
      <c r="N57" s="51">
        <f>SUM(Table1351452010[[#This Row],[คอมฯอุปกรณ์
 5%]:[คอมฯ อุปกรณ์
25%]])</f>
        <v>0</v>
      </c>
      <c r="O57" s="269"/>
      <c r="P57" s="269"/>
      <c r="Q57"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57" s="257">
        <f>SUM(Table1351452010[[#This Row],[รายการเบิก
คอมขาย]],Table1351452010[[#This Row],[Total
คอมฯ อุปกรณ์]])+Table1351452010[[#This Row],[Total 
คอมฯค่าติดตั้ง/ค่าเชื่อมสัญญาณ]]</f>
        <v>0</v>
      </c>
      <c r="S57" s="270"/>
      <c r="T57" s="270"/>
      <c r="U57" s="271"/>
    </row>
    <row r="58" spans="1:22" s="259" customFormat="1" ht="27" hidden="1" customHeight="1">
      <c r="A58" s="277"/>
      <c r="B58" s="290"/>
      <c r="C58" s="21"/>
      <c r="D58" s="43"/>
      <c r="E58" s="43"/>
      <c r="F58" s="43"/>
      <c r="G58" s="46"/>
      <c r="H58" s="260"/>
      <c r="I58" s="260"/>
      <c r="J58" s="154"/>
      <c r="K58" s="155"/>
      <c r="L58" s="261"/>
      <c r="M58" s="262"/>
      <c r="N58" s="52"/>
      <c r="O58" s="52"/>
      <c r="P58" s="52"/>
      <c r="Q58" s="52"/>
      <c r="R58" s="263" t="s">
        <v>108</v>
      </c>
      <c r="S58" s="136"/>
      <c r="T58" s="273"/>
      <c r="U58" s="274"/>
      <c r="V58" s="3"/>
    </row>
    <row r="59" spans="1:22" s="259" customFormat="1" ht="27" hidden="1" customHeight="1" thickBot="1">
      <c r="A59" s="278"/>
      <c r="B59" s="291"/>
      <c r="C59" s="286"/>
      <c r="D59" s="287"/>
      <c r="E59" s="41"/>
      <c r="F59" s="43"/>
      <c r="G59" s="46"/>
      <c r="H59" s="265"/>
      <c r="I59" s="265"/>
      <c r="J59" s="43"/>
      <c r="K59" s="43"/>
      <c r="L59" s="262"/>
      <c r="M59" s="262"/>
      <c r="N59" s="53"/>
      <c r="O59" s="53"/>
      <c r="P59" s="53"/>
      <c r="Q59" s="53"/>
      <c r="R59" s="266"/>
      <c r="S59" s="136"/>
      <c r="T59" s="273"/>
      <c r="U59" s="267"/>
      <c r="V59" s="3"/>
    </row>
    <row r="60" spans="1:22" s="3" customFormat="1" ht="27.45" hidden="1" customHeight="1">
      <c r="A60" s="276">
        <v>17</v>
      </c>
      <c r="B60" s="292"/>
      <c r="C60" s="20"/>
      <c r="D60" s="34"/>
      <c r="E60" s="34"/>
      <c r="F60" s="280"/>
      <c r="G60" s="398"/>
      <c r="H60" s="256"/>
      <c r="I60" s="256">
        <f>Table1351452010[[#This Row],[ค่าบริการรายเดือนตาม Package]]+Table1351452010[[#This Row],[รายการเบิก
คอมขายเพิ่มเติม
(เป้าตามกำหนด)
100-200%]]</f>
        <v>0</v>
      </c>
      <c r="J60" s="42"/>
      <c r="K60" s="280"/>
      <c r="L60" s="281">
        <f>IF(Table1351452010[[#This Row],[ค่าขายอุปกรณ์]]&gt;Table1351452010[[#This Row],[ต้นทุนค่าขายอุปกรณ์]],Table1351452010[[#This Row],[ต้นทุนค่าขายอุปกรณ์]]*$L$4,Table1351452010[[#This Row],[ค่าขายอุปกรณ์]]*$L$4)</f>
        <v>0</v>
      </c>
      <c r="M60" s="282">
        <f>IF(Table1351452010[[#This Row],[ค่าขายอุปกรณ์]]&gt;Table1351452010[[#This Row],[ต้นทุนค่าขายอุปกรณ์]],SUM(Table1351452010[[#This Row],[ค่าขายอุปกรณ์]]-Table1351452010[[#This Row],[ต้นทุนค่าขายอุปกรณ์]])*$M$4,0)</f>
        <v>0</v>
      </c>
      <c r="N60" s="51">
        <f>SUM(Table1351452010[[#This Row],[คอมฯอุปกรณ์
 5%]:[คอมฯ อุปกรณ์
25%]])</f>
        <v>0</v>
      </c>
      <c r="O60" s="269"/>
      <c r="P60" s="269"/>
      <c r="Q60"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0" s="257">
        <f>SUM(Table1351452010[[#This Row],[รายการเบิก
คอมขาย]],Table1351452010[[#This Row],[Total
คอมฯ อุปกรณ์]])+Table1351452010[[#This Row],[Total 
คอมฯค่าติดตั้ง/ค่าเชื่อมสัญญาณ]]</f>
        <v>0</v>
      </c>
      <c r="S60" s="270"/>
      <c r="T60" s="270"/>
      <c r="U60" s="271"/>
    </row>
    <row r="61" spans="1:22" s="259" customFormat="1" ht="27" hidden="1" customHeight="1">
      <c r="A61" s="277"/>
      <c r="B61" s="290"/>
      <c r="C61" s="21"/>
      <c r="D61" s="43"/>
      <c r="E61" s="43"/>
      <c r="F61" s="43"/>
      <c r="G61" s="46"/>
      <c r="H61" s="260"/>
      <c r="I61" s="260"/>
      <c r="J61" s="154"/>
      <c r="K61" s="155"/>
      <c r="L61" s="261"/>
      <c r="M61" s="262"/>
      <c r="N61" s="52"/>
      <c r="O61" s="52"/>
      <c r="P61" s="52"/>
      <c r="Q61" s="52"/>
      <c r="R61" s="263" t="s">
        <v>108</v>
      </c>
      <c r="S61" s="399"/>
      <c r="T61" s="400"/>
      <c r="U61" s="274"/>
      <c r="V61" s="3"/>
    </row>
    <row r="62" spans="1:22" s="259" customFormat="1" ht="27" hidden="1" customHeight="1" thickBot="1">
      <c r="A62" s="278"/>
      <c r="B62" s="291"/>
      <c r="C62" s="286"/>
      <c r="D62" s="287"/>
      <c r="E62" s="41"/>
      <c r="F62" s="43"/>
      <c r="G62" s="46"/>
      <c r="H62" s="265"/>
      <c r="I62" s="265"/>
      <c r="J62" s="43"/>
      <c r="K62" s="43"/>
      <c r="L62" s="262"/>
      <c r="M62" s="262"/>
      <c r="N62" s="53"/>
      <c r="O62" s="53"/>
      <c r="P62" s="53"/>
      <c r="Q62" s="53"/>
      <c r="R62" s="266"/>
      <c r="S62" s="136"/>
      <c r="T62" s="273"/>
      <c r="U62" s="267"/>
      <c r="V62" s="3"/>
    </row>
    <row r="63" spans="1:22" s="3" customFormat="1" ht="27.45" hidden="1" customHeight="1">
      <c r="A63" s="276">
        <v>18</v>
      </c>
      <c r="B63" s="292"/>
      <c r="C63" s="20"/>
      <c r="D63" s="34"/>
      <c r="E63" s="34"/>
      <c r="F63" s="280"/>
      <c r="G63" s="398"/>
      <c r="H63" s="256"/>
      <c r="I63" s="256">
        <f>Table1351452010[[#This Row],[ค่าบริการรายเดือนตาม Package]]+Table1351452010[[#This Row],[รายการเบิก
คอมขายเพิ่มเติม
(เป้าตามกำหนด)
100-200%]]</f>
        <v>0</v>
      </c>
      <c r="J63" s="42"/>
      <c r="K63" s="280"/>
      <c r="L63" s="281">
        <f>IF(Table1351452010[[#This Row],[ค่าขายอุปกรณ์]]&gt;Table1351452010[[#This Row],[ต้นทุนค่าขายอุปกรณ์]],Table1351452010[[#This Row],[ต้นทุนค่าขายอุปกรณ์]]*$L$4,Table1351452010[[#This Row],[ค่าขายอุปกรณ์]]*$L$4)</f>
        <v>0</v>
      </c>
      <c r="M63" s="282">
        <f>IF(Table1351452010[[#This Row],[ค่าขายอุปกรณ์]]&gt;Table1351452010[[#This Row],[ต้นทุนค่าขายอุปกรณ์]],SUM(Table1351452010[[#This Row],[ค่าขายอุปกรณ์]]-Table1351452010[[#This Row],[ต้นทุนค่าขายอุปกรณ์]])*$M$4,0)</f>
        <v>0</v>
      </c>
      <c r="N63" s="51">
        <f>SUM(Table1351452010[[#This Row],[คอมฯอุปกรณ์
 5%]:[คอมฯ อุปกรณ์
25%]])</f>
        <v>0</v>
      </c>
      <c r="O63" s="269"/>
      <c r="P63" s="269"/>
      <c r="Q63"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3" s="257">
        <f>SUM(Table1351452010[[#This Row],[รายการเบิก
คอมขาย]],Table1351452010[[#This Row],[Total
คอมฯ อุปกรณ์]])+Table1351452010[[#This Row],[Total 
คอมฯค่าติดตั้ง/ค่าเชื่อมสัญญาณ]]</f>
        <v>0</v>
      </c>
      <c r="S63" s="270"/>
      <c r="T63" s="270"/>
      <c r="U63" s="271"/>
    </row>
    <row r="64" spans="1:22" s="259" customFormat="1" ht="27" hidden="1" customHeight="1">
      <c r="A64" s="277"/>
      <c r="B64" s="290"/>
      <c r="C64" s="21"/>
      <c r="D64" s="43"/>
      <c r="E64" s="43"/>
      <c r="F64" s="43"/>
      <c r="G64" s="46"/>
      <c r="H64" s="260"/>
      <c r="I64" s="260"/>
      <c r="J64" s="154"/>
      <c r="K64" s="155"/>
      <c r="L64" s="261"/>
      <c r="M64" s="262"/>
      <c r="N64" s="52"/>
      <c r="O64" s="52"/>
      <c r="P64" s="52"/>
      <c r="Q64" s="52"/>
      <c r="R64" s="263" t="s">
        <v>108</v>
      </c>
      <c r="S64" s="136"/>
      <c r="T64" s="273"/>
      <c r="U64" s="274"/>
      <c r="V64" s="3"/>
    </row>
    <row r="65" spans="1:22" s="259" customFormat="1" ht="27" hidden="1" customHeight="1" thickBot="1">
      <c r="A65" s="278"/>
      <c r="B65" s="291"/>
      <c r="C65" s="286"/>
      <c r="D65" s="287"/>
      <c r="E65" s="41"/>
      <c r="F65" s="43"/>
      <c r="G65" s="46"/>
      <c r="H65" s="265"/>
      <c r="I65" s="265"/>
      <c r="J65" s="43"/>
      <c r="K65" s="43"/>
      <c r="L65" s="262"/>
      <c r="M65" s="262"/>
      <c r="N65" s="53"/>
      <c r="O65" s="53"/>
      <c r="P65" s="53"/>
      <c r="Q65" s="53"/>
      <c r="R65" s="266"/>
      <c r="S65" s="136"/>
      <c r="T65" s="273"/>
      <c r="U65" s="267"/>
      <c r="V65" s="3"/>
    </row>
    <row r="66" spans="1:22" s="3" customFormat="1" ht="27.45" hidden="1" customHeight="1">
      <c r="A66" s="276">
        <v>19</v>
      </c>
      <c r="B66" s="292"/>
      <c r="C66" s="20"/>
      <c r="D66" s="34"/>
      <c r="E66" s="34"/>
      <c r="F66" s="280"/>
      <c r="G66" s="54"/>
      <c r="H66" s="256"/>
      <c r="I66" s="256">
        <f>Table1351452010[[#This Row],[ค่าบริการรายเดือนตาม Package]]+Table1351452010[[#This Row],[รายการเบิก
คอมขายเพิ่มเติม
(เป้าตามกำหนด)
100-200%]]</f>
        <v>0</v>
      </c>
      <c r="J66" s="42"/>
      <c r="K66" s="280"/>
      <c r="L66" s="281">
        <f>IF(Table1351452010[[#This Row],[ค่าขายอุปกรณ์]]&gt;Table1351452010[[#This Row],[ต้นทุนค่าขายอุปกรณ์]],Table1351452010[[#This Row],[ต้นทุนค่าขายอุปกรณ์]]*$L$4,Table1351452010[[#This Row],[ค่าขายอุปกรณ์]]*$L$4)</f>
        <v>0</v>
      </c>
      <c r="M66" s="282">
        <f>IF(Table1351452010[[#This Row],[ค่าขายอุปกรณ์]]&gt;Table1351452010[[#This Row],[ต้นทุนค่าขายอุปกรณ์]],SUM(Table1351452010[[#This Row],[ค่าขายอุปกรณ์]]-Table1351452010[[#This Row],[ต้นทุนค่าขายอุปกรณ์]])*$M$4,0)</f>
        <v>0</v>
      </c>
      <c r="N66" s="51">
        <f>SUM(Table1351452010[[#This Row],[คอมฯอุปกรณ์
 5%]:[คอมฯ อุปกรณ์
25%]])</f>
        <v>0</v>
      </c>
      <c r="O66" s="269"/>
      <c r="P66" s="269"/>
      <c r="Q66"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6" s="257">
        <f>SUM(Table1351452010[[#This Row],[รายการเบิก
คอมขาย]],Table1351452010[[#This Row],[Total
คอมฯ อุปกรณ์]])+Table1351452010[[#This Row],[Total 
คอมฯค่าติดตั้ง/ค่าเชื่อมสัญญาณ]]</f>
        <v>0</v>
      </c>
      <c r="S66" s="270"/>
      <c r="T66" s="270"/>
      <c r="U66" s="271"/>
    </row>
    <row r="67" spans="1:22" s="259" customFormat="1" ht="27" hidden="1" customHeight="1">
      <c r="A67" s="277"/>
      <c r="B67" s="290"/>
      <c r="C67" s="21"/>
      <c r="D67" s="43"/>
      <c r="E67" s="43"/>
      <c r="F67" s="43"/>
      <c r="G67" s="46"/>
      <c r="H67" s="260"/>
      <c r="I67" s="260"/>
      <c r="J67" s="154"/>
      <c r="K67" s="155"/>
      <c r="L67" s="261"/>
      <c r="M67" s="262"/>
      <c r="N67" s="52"/>
      <c r="O67" s="52"/>
      <c r="P67" s="52"/>
      <c r="Q67" s="52"/>
      <c r="R67" s="263" t="s">
        <v>108</v>
      </c>
      <c r="S67" s="136"/>
      <c r="T67" s="273"/>
      <c r="U67" s="274"/>
      <c r="V67" s="3"/>
    </row>
    <row r="68" spans="1:22" s="259" customFormat="1" ht="27" hidden="1" customHeight="1" thickBot="1">
      <c r="A68" s="278"/>
      <c r="B68" s="291"/>
      <c r="C68" s="286"/>
      <c r="D68" s="287"/>
      <c r="E68" s="41"/>
      <c r="F68" s="43"/>
      <c r="G68" s="46"/>
      <c r="H68" s="265"/>
      <c r="I68" s="265"/>
      <c r="J68" s="43"/>
      <c r="K68" s="43"/>
      <c r="L68" s="262"/>
      <c r="M68" s="262"/>
      <c r="N68" s="53"/>
      <c r="O68" s="53"/>
      <c r="P68" s="53"/>
      <c r="Q68" s="53"/>
      <c r="R68" s="266"/>
      <c r="S68" s="136"/>
      <c r="T68" s="273"/>
      <c r="U68" s="267"/>
      <c r="V68" s="3"/>
    </row>
    <row r="69" spans="1:22" s="3" customFormat="1" ht="27.45" hidden="1" customHeight="1">
      <c r="A69" s="276">
        <v>20</v>
      </c>
      <c r="B69" s="292"/>
      <c r="C69" s="20"/>
      <c r="D69" s="34"/>
      <c r="E69" s="34"/>
      <c r="F69" s="280"/>
      <c r="G69" s="398"/>
      <c r="H69" s="256"/>
      <c r="I69" s="256">
        <f>Table1351452010[[#This Row],[ค่าบริการรายเดือนตาม Package]]+Table1351452010[[#This Row],[รายการเบิก
คอมขายเพิ่มเติม
(เป้าตามกำหนด)
100-200%]]</f>
        <v>0</v>
      </c>
      <c r="J69" s="42"/>
      <c r="K69" s="280"/>
      <c r="L69" s="281">
        <f>IF(Table1351452010[[#This Row],[ค่าขายอุปกรณ์]]&gt;Table1351452010[[#This Row],[ต้นทุนค่าขายอุปกรณ์]],Table1351452010[[#This Row],[ต้นทุนค่าขายอุปกรณ์]]*$L$4,Table1351452010[[#This Row],[ค่าขายอุปกรณ์]]*$L$4)</f>
        <v>0</v>
      </c>
      <c r="M69" s="282">
        <f>IF(Table1351452010[[#This Row],[ค่าขายอุปกรณ์]]&gt;Table1351452010[[#This Row],[ต้นทุนค่าขายอุปกรณ์]],SUM(Table1351452010[[#This Row],[ค่าขายอุปกรณ์]]-Table1351452010[[#This Row],[ต้นทุนค่าขายอุปกรณ์]])*$M$4,0)</f>
        <v>0</v>
      </c>
      <c r="N69" s="51">
        <f>SUM(Table1351452010[[#This Row],[คอมฯอุปกรณ์
 5%]:[คอมฯ อุปกรณ์
25%]])</f>
        <v>0</v>
      </c>
      <c r="O69" s="269"/>
      <c r="P69" s="269"/>
      <c r="Q69"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69" s="257">
        <f>SUM(Table1351452010[[#This Row],[รายการเบิก
คอมขาย]],Table1351452010[[#This Row],[Total
คอมฯ อุปกรณ์]])+Table1351452010[[#This Row],[Total 
คอมฯค่าติดตั้ง/ค่าเชื่อมสัญญาณ]]</f>
        <v>0</v>
      </c>
      <c r="S69" s="270"/>
      <c r="T69" s="270"/>
      <c r="U69" s="271"/>
    </row>
    <row r="70" spans="1:22" s="259" customFormat="1" ht="27" hidden="1" customHeight="1">
      <c r="A70" s="277"/>
      <c r="B70" s="290"/>
      <c r="C70" s="21"/>
      <c r="D70" s="43"/>
      <c r="E70" s="43"/>
      <c r="F70" s="43"/>
      <c r="G70" s="46"/>
      <c r="H70" s="260"/>
      <c r="I70" s="260"/>
      <c r="J70" s="154"/>
      <c r="K70" s="155"/>
      <c r="L70" s="261"/>
      <c r="M70" s="262"/>
      <c r="N70" s="52"/>
      <c r="O70" s="52"/>
      <c r="P70" s="52"/>
      <c r="Q70" s="52"/>
      <c r="R70" s="263" t="s">
        <v>108</v>
      </c>
      <c r="S70" s="136"/>
      <c r="T70" s="273"/>
      <c r="U70" s="274"/>
      <c r="V70" s="3"/>
    </row>
    <row r="71" spans="1:22" s="259" customFormat="1" ht="27" hidden="1" customHeight="1" thickBot="1">
      <c r="A71" s="278"/>
      <c r="B71" s="291"/>
      <c r="C71" s="286"/>
      <c r="D71" s="287"/>
      <c r="E71" s="41"/>
      <c r="F71" s="43"/>
      <c r="G71" s="46"/>
      <c r="H71" s="265"/>
      <c r="I71" s="265"/>
      <c r="J71" s="43"/>
      <c r="K71" s="43"/>
      <c r="L71" s="262"/>
      <c r="M71" s="262"/>
      <c r="N71" s="53"/>
      <c r="O71" s="53"/>
      <c r="P71" s="53"/>
      <c r="Q71" s="53"/>
      <c r="R71" s="266"/>
      <c r="S71" s="136"/>
      <c r="T71" s="273"/>
      <c r="U71" s="267"/>
      <c r="V71" s="3"/>
    </row>
    <row r="72" spans="1:22" s="3" customFormat="1" ht="27.45" hidden="1" customHeight="1">
      <c r="A72" s="276">
        <v>21</v>
      </c>
      <c r="B72" s="292"/>
      <c r="C72" s="20"/>
      <c r="D72" s="34"/>
      <c r="E72" s="34"/>
      <c r="F72" s="280"/>
      <c r="G72" s="54"/>
      <c r="H72" s="256"/>
      <c r="I72" s="256">
        <f>Table1351452010[[#This Row],[ค่าบริการรายเดือนตาม Package]]+Table1351452010[[#This Row],[รายการเบิก
คอมขายเพิ่มเติม
(เป้าตามกำหนด)
100-200%]]</f>
        <v>0</v>
      </c>
      <c r="J72" s="42"/>
      <c r="K72" s="280"/>
      <c r="L72" s="281">
        <f>IF(Table1351452010[[#This Row],[ค่าขายอุปกรณ์]]&gt;Table1351452010[[#This Row],[ต้นทุนค่าขายอุปกรณ์]],Table1351452010[[#This Row],[ต้นทุนค่าขายอุปกรณ์]]*$L$4,Table1351452010[[#This Row],[ค่าขายอุปกรณ์]]*$L$4)</f>
        <v>0</v>
      </c>
      <c r="M72" s="282">
        <f>IF(Table1351452010[[#This Row],[ค่าขายอุปกรณ์]]&gt;Table1351452010[[#This Row],[ต้นทุนค่าขายอุปกรณ์]],SUM(Table1351452010[[#This Row],[ค่าขายอุปกรณ์]]-Table1351452010[[#This Row],[ต้นทุนค่าขายอุปกรณ์]])*$M$4,0)</f>
        <v>0</v>
      </c>
      <c r="N72" s="51">
        <f>SUM(Table1351452010[[#This Row],[คอมฯอุปกรณ์
 5%]:[คอมฯ อุปกรณ์
25%]])</f>
        <v>0</v>
      </c>
      <c r="O72" s="269"/>
      <c r="P72" s="269"/>
      <c r="Q72"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2" s="257">
        <f>SUM(Table1351452010[[#This Row],[รายการเบิก
คอมขาย]],Table1351452010[[#This Row],[Total
คอมฯ อุปกรณ์]])+Table1351452010[[#This Row],[Total 
คอมฯค่าติดตั้ง/ค่าเชื่อมสัญญาณ]]</f>
        <v>0</v>
      </c>
      <c r="S72" s="270"/>
      <c r="T72" s="270"/>
      <c r="U72" s="271"/>
    </row>
    <row r="73" spans="1:22" s="259" customFormat="1" ht="27" hidden="1" customHeight="1">
      <c r="A73" s="277"/>
      <c r="B73" s="290"/>
      <c r="C73" s="21"/>
      <c r="D73" s="43"/>
      <c r="E73" s="43"/>
      <c r="F73" s="43"/>
      <c r="G73" s="46"/>
      <c r="H73" s="260"/>
      <c r="I73" s="260"/>
      <c r="J73" s="154"/>
      <c r="K73" s="155"/>
      <c r="L73" s="261"/>
      <c r="M73" s="262"/>
      <c r="N73" s="52"/>
      <c r="O73" s="52"/>
      <c r="P73" s="52"/>
      <c r="Q73" s="52"/>
      <c r="R73" s="263" t="s">
        <v>108</v>
      </c>
      <c r="S73" s="136"/>
      <c r="T73" s="273"/>
      <c r="U73" s="274"/>
      <c r="V73" s="3"/>
    </row>
    <row r="74" spans="1:22" s="259" customFormat="1" ht="27" hidden="1" customHeight="1" thickBot="1">
      <c r="A74" s="278"/>
      <c r="B74" s="291"/>
      <c r="C74" s="286"/>
      <c r="D74" s="287"/>
      <c r="E74" s="41"/>
      <c r="F74" s="43"/>
      <c r="G74" s="46"/>
      <c r="H74" s="265"/>
      <c r="I74" s="265"/>
      <c r="J74" s="43"/>
      <c r="K74" s="43"/>
      <c r="L74" s="262"/>
      <c r="M74" s="262"/>
      <c r="N74" s="53"/>
      <c r="O74" s="53"/>
      <c r="P74" s="53"/>
      <c r="Q74" s="53"/>
      <c r="R74" s="266"/>
      <c r="S74" s="136"/>
      <c r="T74" s="273"/>
      <c r="U74" s="267"/>
      <c r="V74" s="3"/>
    </row>
    <row r="75" spans="1:22" s="3" customFormat="1" ht="27.45" hidden="1" customHeight="1">
      <c r="A75" s="276">
        <v>22</v>
      </c>
      <c r="B75" s="292"/>
      <c r="C75" s="20"/>
      <c r="D75" s="34"/>
      <c r="E75" s="34"/>
      <c r="F75" s="280"/>
      <c r="G75" s="398"/>
      <c r="H75" s="256"/>
      <c r="I75" s="256">
        <f>Table1351452010[[#This Row],[ค่าบริการรายเดือนตาม Package]]+Table1351452010[[#This Row],[รายการเบิก
คอมขายเพิ่มเติม
(เป้าตามกำหนด)
100-200%]]</f>
        <v>0</v>
      </c>
      <c r="J75" s="42"/>
      <c r="K75" s="280"/>
      <c r="L75" s="281">
        <f>IF(Table1351452010[[#This Row],[ค่าขายอุปกรณ์]]&gt;Table1351452010[[#This Row],[ต้นทุนค่าขายอุปกรณ์]],Table1351452010[[#This Row],[ต้นทุนค่าขายอุปกรณ์]]*$L$4,Table1351452010[[#This Row],[ค่าขายอุปกรณ์]]*$L$4)</f>
        <v>0</v>
      </c>
      <c r="M75" s="282">
        <f>IF(Table1351452010[[#This Row],[ค่าขายอุปกรณ์]]&gt;Table1351452010[[#This Row],[ต้นทุนค่าขายอุปกรณ์]],SUM(Table1351452010[[#This Row],[ค่าขายอุปกรณ์]]-Table1351452010[[#This Row],[ต้นทุนค่าขายอุปกรณ์]])*$M$4,0)</f>
        <v>0</v>
      </c>
      <c r="N75" s="51">
        <f>SUM(Table1351452010[[#This Row],[คอมฯอุปกรณ์
 5%]:[คอมฯ อุปกรณ์
25%]])</f>
        <v>0</v>
      </c>
      <c r="O75" s="269"/>
      <c r="P75" s="269"/>
      <c r="Q75"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5" s="257">
        <f>SUM(Table1351452010[[#This Row],[รายการเบิก
คอมขาย]],Table1351452010[[#This Row],[Total
คอมฯ อุปกรณ์]])+Table1351452010[[#This Row],[Total 
คอมฯค่าติดตั้ง/ค่าเชื่อมสัญญาณ]]</f>
        <v>0</v>
      </c>
      <c r="S75" s="270"/>
      <c r="T75" s="270"/>
      <c r="U75" s="271"/>
    </row>
    <row r="76" spans="1:22" s="259" customFormat="1" ht="27" hidden="1" customHeight="1">
      <c r="A76" s="277"/>
      <c r="B76" s="290"/>
      <c r="C76" s="21"/>
      <c r="D76" s="43"/>
      <c r="E76" s="43"/>
      <c r="F76" s="43"/>
      <c r="G76" s="46"/>
      <c r="H76" s="260"/>
      <c r="I76" s="260"/>
      <c r="J76" s="154"/>
      <c r="K76" s="155"/>
      <c r="L76" s="261"/>
      <c r="M76" s="262"/>
      <c r="N76" s="52"/>
      <c r="O76" s="52"/>
      <c r="P76" s="52"/>
      <c r="Q76" s="52"/>
      <c r="R76" s="263" t="s">
        <v>108</v>
      </c>
      <c r="S76" s="136"/>
      <c r="T76" s="273"/>
      <c r="U76" s="274"/>
      <c r="V76" s="3"/>
    </row>
    <row r="77" spans="1:22" s="259" customFormat="1" ht="27" hidden="1" customHeight="1" thickBot="1">
      <c r="A77" s="278"/>
      <c r="B77" s="291"/>
      <c r="C77" s="286"/>
      <c r="D77" s="287"/>
      <c r="E77" s="41"/>
      <c r="F77" s="43"/>
      <c r="G77" s="46"/>
      <c r="H77" s="265"/>
      <c r="I77" s="265"/>
      <c r="J77" s="43"/>
      <c r="K77" s="43"/>
      <c r="L77" s="262"/>
      <c r="M77" s="262"/>
      <c r="N77" s="53"/>
      <c r="O77" s="53"/>
      <c r="P77" s="53"/>
      <c r="Q77" s="53"/>
      <c r="R77" s="266"/>
      <c r="S77" s="136"/>
      <c r="T77" s="273"/>
      <c r="U77" s="267"/>
      <c r="V77" s="3"/>
    </row>
    <row r="78" spans="1:22" s="3" customFormat="1" ht="27.45" hidden="1" customHeight="1">
      <c r="A78" s="276">
        <v>23</v>
      </c>
      <c r="B78" s="292"/>
      <c r="C78" s="20"/>
      <c r="D78" s="34"/>
      <c r="E78" s="34"/>
      <c r="F78" s="280"/>
      <c r="G78" s="54"/>
      <c r="H78" s="256"/>
      <c r="I78" s="256">
        <f>Table1351452010[[#This Row],[ค่าบริการรายเดือนตาม Package]]+Table1351452010[[#This Row],[รายการเบิก
คอมขายเพิ่มเติม
(เป้าตามกำหนด)
100-200%]]</f>
        <v>0</v>
      </c>
      <c r="J78" s="42"/>
      <c r="K78" s="280"/>
      <c r="L78" s="281">
        <f>IF(Table1351452010[[#This Row],[ค่าขายอุปกรณ์]]&gt;Table1351452010[[#This Row],[ต้นทุนค่าขายอุปกรณ์]],Table1351452010[[#This Row],[ต้นทุนค่าขายอุปกรณ์]]*$L$4,Table1351452010[[#This Row],[ค่าขายอุปกรณ์]]*$L$4)</f>
        <v>0</v>
      </c>
      <c r="M78" s="282">
        <f>IF(Table1351452010[[#This Row],[ค่าขายอุปกรณ์]]&gt;Table1351452010[[#This Row],[ต้นทุนค่าขายอุปกรณ์]],SUM(Table1351452010[[#This Row],[ค่าขายอุปกรณ์]]-Table1351452010[[#This Row],[ต้นทุนค่าขายอุปกรณ์]])*$M$4,0)</f>
        <v>0</v>
      </c>
      <c r="N78" s="51">
        <f>SUM(Table1351452010[[#This Row],[คอมฯอุปกรณ์
 5%]:[คอมฯ อุปกรณ์
25%]])</f>
        <v>0</v>
      </c>
      <c r="O78" s="269"/>
      <c r="P78" s="269"/>
      <c r="Q78"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78" s="257">
        <f>SUM(Table1351452010[[#This Row],[รายการเบิก
คอมขาย]],Table1351452010[[#This Row],[Total
คอมฯ อุปกรณ์]])+Table1351452010[[#This Row],[Total 
คอมฯค่าติดตั้ง/ค่าเชื่อมสัญญาณ]]</f>
        <v>0</v>
      </c>
      <c r="S78" s="270"/>
      <c r="T78" s="270"/>
      <c r="U78" s="271"/>
    </row>
    <row r="79" spans="1:22" s="259" customFormat="1" ht="27" hidden="1" customHeight="1">
      <c r="A79" s="277"/>
      <c r="B79" s="290"/>
      <c r="C79" s="21"/>
      <c r="D79" s="43"/>
      <c r="E79" s="43"/>
      <c r="F79" s="43"/>
      <c r="G79" s="46"/>
      <c r="H79" s="260"/>
      <c r="I79" s="260"/>
      <c r="J79" s="154"/>
      <c r="K79" s="155"/>
      <c r="L79" s="261"/>
      <c r="M79" s="262"/>
      <c r="N79" s="52"/>
      <c r="O79" s="52"/>
      <c r="P79" s="52"/>
      <c r="Q79" s="52"/>
      <c r="R79" s="263" t="s">
        <v>108</v>
      </c>
      <c r="S79" s="136"/>
      <c r="T79" s="273"/>
      <c r="U79" s="274"/>
      <c r="V79" s="3"/>
    </row>
    <row r="80" spans="1:22" s="259" customFormat="1" ht="27" hidden="1" customHeight="1" thickBot="1">
      <c r="A80" s="278"/>
      <c r="B80" s="291"/>
      <c r="C80" s="286"/>
      <c r="D80" s="287"/>
      <c r="E80" s="41"/>
      <c r="F80" s="43"/>
      <c r="G80" s="46"/>
      <c r="H80" s="265"/>
      <c r="I80" s="265"/>
      <c r="J80" s="43"/>
      <c r="K80" s="43"/>
      <c r="L80" s="262"/>
      <c r="M80" s="262"/>
      <c r="N80" s="53"/>
      <c r="O80" s="53"/>
      <c r="P80" s="53"/>
      <c r="Q80" s="53"/>
      <c r="R80" s="266"/>
      <c r="S80" s="136"/>
      <c r="T80" s="273"/>
      <c r="U80" s="267"/>
      <c r="V80" s="3"/>
    </row>
    <row r="81" spans="1:23" s="3" customFormat="1" ht="27.45" hidden="1" customHeight="1">
      <c r="A81" s="276">
        <v>24</v>
      </c>
      <c r="B81" s="293"/>
      <c r="C81" s="20"/>
      <c r="D81" s="34"/>
      <c r="E81" s="34"/>
      <c r="F81" s="280"/>
      <c r="G81" s="54"/>
      <c r="H81" s="256"/>
      <c r="I81" s="256">
        <f>Table1351452010[[#This Row],[ค่าบริการรายเดือนตาม Package]]+Table1351452010[[#This Row],[รายการเบิก
คอมขายเพิ่มเติม
(เป้าตามกำหนด)
100-200%]]</f>
        <v>0</v>
      </c>
      <c r="J81" s="42"/>
      <c r="K81" s="280"/>
      <c r="L81" s="281">
        <f>IF(Table1351452010[[#This Row],[ค่าขายอุปกรณ์]]&gt;Table1351452010[[#This Row],[ต้นทุนค่าขายอุปกรณ์]],Table1351452010[[#This Row],[ต้นทุนค่าขายอุปกรณ์]]*$L$4,Table1351452010[[#This Row],[ค่าขายอุปกรณ์]]*$L$4)</f>
        <v>0</v>
      </c>
      <c r="M81" s="282">
        <f>IF(Table1351452010[[#This Row],[ค่าขายอุปกรณ์]]&gt;Table1351452010[[#This Row],[ต้นทุนค่าขายอุปกรณ์]],SUM(Table1351452010[[#This Row],[ค่าขายอุปกรณ์]]-Table1351452010[[#This Row],[ต้นทุนค่าขายอุปกรณ์]])*$M$4,0)</f>
        <v>0</v>
      </c>
      <c r="N81" s="51">
        <f>SUM(Table1351452010[[#This Row],[คอมฯอุปกรณ์
 5%]:[คอมฯ อุปกรณ์
25%]])</f>
        <v>0</v>
      </c>
      <c r="O81" s="269"/>
      <c r="P81" s="269"/>
      <c r="Q81" s="269">
        <f>IF(Table1351452010[[#This Row],[ค่าติดตั้ง/ค่าเชื่อมสัญญาณ]]&gt;Table1351452010[[#This Row],[ต้นทุนค่าติดตั้ง/ค่าเชื่อมสัญญาณ]],SUM(Table1351452010[[#This Row],[ค่าติดตั้ง/ค่าเชื่อมสัญญาณ]]-Table1351452010[[#This Row],[ต้นทุนค่าติดตั้ง/ค่าเชื่อมสัญญาณ]])*$Q$4,0)</f>
        <v>0</v>
      </c>
      <c r="R81" s="257">
        <f>SUM(Table1351452010[[#This Row],[รายการเบิก
คอมขาย]],Table1351452010[[#This Row],[Total
คอมฯ อุปกรณ์]])+Table1351452010[[#This Row],[Total 
คอมฯค่าติดตั้ง/ค่าเชื่อมสัญญาณ]]</f>
        <v>0</v>
      </c>
      <c r="S81" s="270"/>
      <c r="T81" s="270"/>
      <c r="U81" s="271"/>
    </row>
    <row r="82" spans="1:23" s="259" customFormat="1" ht="27" hidden="1" customHeight="1">
      <c r="A82" s="277">
        <v>8.1</v>
      </c>
      <c r="B82" s="290"/>
      <c r="C82" s="21"/>
      <c r="D82" s="43"/>
      <c r="E82" s="43"/>
      <c r="F82" s="43"/>
      <c r="G82" s="46"/>
      <c r="H82" s="260"/>
      <c r="I82" s="260"/>
      <c r="J82" s="154"/>
      <c r="K82" s="155"/>
      <c r="L82" s="261"/>
      <c r="M82" s="262"/>
      <c r="N82" s="52"/>
      <c r="O82" s="52"/>
      <c r="P82" s="52"/>
      <c r="Q82" s="52"/>
      <c r="R82" s="263" t="s">
        <v>108</v>
      </c>
      <c r="S82" s="136"/>
      <c r="T82" s="273"/>
      <c r="U82" s="274"/>
      <c r="V82" s="3"/>
    </row>
    <row r="83" spans="1:23" s="259" customFormat="1" ht="27" hidden="1" customHeight="1" thickBot="1">
      <c r="A83" s="278">
        <v>8.1999999999999993</v>
      </c>
      <c r="B83" s="291"/>
      <c r="C83" s="286"/>
      <c r="D83" s="287"/>
      <c r="E83" s="41"/>
      <c r="F83" s="43"/>
      <c r="G83" s="46"/>
      <c r="H83" s="265"/>
      <c r="I83" s="265"/>
      <c r="J83" s="43"/>
      <c r="K83" s="43"/>
      <c r="L83" s="262"/>
      <c r="M83" s="262"/>
      <c r="N83" s="53"/>
      <c r="O83" s="53"/>
      <c r="P83" s="53"/>
      <c r="Q83" s="53"/>
      <c r="R83" s="266"/>
      <c r="S83" s="136"/>
      <c r="T83" s="273"/>
      <c r="U83" s="267"/>
      <c r="V83" s="3"/>
    </row>
    <row r="84" spans="1:23" s="8" customFormat="1" ht="28.5" customHeight="1" thickBot="1">
      <c r="A84" s="219"/>
      <c r="B84" s="219"/>
      <c r="C84" s="220" t="s">
        <v>5</v>
      </c>
      <c r="D84" s="220"/>
      <c r="E84" s="220"/>
      <c r="F84" s="221">
        <f>SUM(F6:F83)</f>
        <v>0</v>
      </c>
      <c r="G84" s="221"/>
      <c r="H84" s="221">
        <f t="shared" ref="H84" si="0">SUM(H6:H83)</f>
        <v>0</v>
      </c>
      <c r="I84" s="221">
        <f t="shared" ref="I84:U84" si="1">SUM(I6:I83)</f>
        <v>0</v>
      </c>
      <c r="J84" s="221">
        <f t="shared" si="1"/>
        <v>0</v>
      </c>
      <c r="K84" s="221">
        <f t="shared" si="1"/>
        <v>0</v>
      </c>
      <c r="L84" s="221">
        <f t="shared" si="1"/>
        <v>0</v>
      </c>
      <c r="M84" s="221">
        <f t="shared" si="1"/>
        <v>0</v>
      </c>
      <c r="N84" s="221">
        <f t="shared" si="1"/>
        <v>0</v>
      </c>
      <c r="O84" s="221">
        <f t="shared" si="1"/>
        <v>0</v>
      </c>
      <c r="P84" s="221">
        <f t="shared" si="1"/>
        <v>0</v>
      </c>
      <c r="Q84" s="221">
        <f t="shared" si="1"/>
        <v>0</v>
      </c>
      <c r="R84" s="222">
        <f t="shared" si="1"/>
        <v>0</v>
      </c>
      <c r="S84" s="221">
        <f t="shared" si="1"/>
        <v>0</v>
      </c>
      <c r="T84" s="221">
        <f t="shared" si="1"/>
        <v>0</v>
      </c>
      <c r="U84" s="221">
        <f t="shared" si="1"/>
        <v>0</v>
      </c>
      <c r="W84" s="223"/>
    </row>
    <row r="85" spans="1:23" ht="28.5" customHeight="1" thickTop="1">
      <c r="R85" s="227"/>
      <c r="S85" s="228"/>
      <c r="T85" s="228"/>
      <c r="U85" s="229"/>
    </row>
    <row r="86" spans="1:23" ht="17.399999999999999">
      <c r="C86" s="226"/>
      <c r="D86" s="225"/>
      <c r="E86" s="225"/>
    </row>
    <row r="87" spans="1:23" ht="17.399999999999999">
      <c r="C87" s="231"/>
      <c r="D87" s="232"/>
      <c r="E87" s="232"/>
    </row>
    <row r="88" spans="1:23" ht="17.399999999999999"/>
  </sheetData>
  <sheetProtection formatCells="0" insertRows="0" insertHyperlinks="0" deleteRows="0" sort="0" autoFilter="0" pivotTables="0"/>
  <phoneticPr fontId="20" type="noConversion"/>
  <dataValidations count="3">
    <dataValidation type="list" allowBlank="1" showInputMessage="1" showErrorMessage="1" sqref="WMD983086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A65582:B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A131118:B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A196654:B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A262190:B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A327726:B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A393262:B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A458798:B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A524334:B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A589870:B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A655406:B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A720942:B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A786478:B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A852014:B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A917550:B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A983086:B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A2" xr:uid="{03142BC0-4A64-4949-8FC3-7924DF007D13}">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 type="list" allowBlank="1" showInputMessage="1" showErrorMessage="1" sqref="WMV983090:WMV983119 AJ65586:AJ65615 KF65586:KF65615 UB65586:UB65615 ADX65586:ADX65615 ANT65586:ANT65615 AXP65586:AXP65615 BHL65586:BHL65615 BRH65586:BRH65615 CBD65586:CBD65615 CKZ65586:CKZ65615 CUV65586:CUV65615 DER65586:DER65615 DON65586:DON65615 DYJ65586:DYJ65615 EIF65586:EIF65615 ESB65586:ESB65615 FBX65586:FBX65615 FLT65586:FLT65615 FVP65586:FVP65615 GFL65586:GFL65615 GPH65586:GPH65615 GZD65586:GZD65615 HIZ65586:HIZ65615 HSV65586:HSV65615 ICR65586:ICR65615 IMN65586:IMN65615 IWJ65586:IWJ65615 JGF65586:JGF65615 JQB65586:JQB65615 JZX65586:JZX65615 KJT65586:KJT65615 KTP65586:KTP65615 LDL65586:LDL65615 LNH65586:LNH65615 LXD65586:LXD65615 MGZ65586:MGZ65615 MQV65586:MQV65615 NAR65586:NAR65615 NKN65586:NKN65615 NUJ65586:NUJ65615 OEF65586:OEF65615 OOB65586:OOB65615 OXX65586:OXX65615 PHT65586:PHT65615 PRP65586:PRP65615 QBL65586:QBL65615 QLH65586:QLH65615 QVD65586:QVD65615 REZ65586:REZ65615 ROV65586:ROV65615 RYR65586:RYR65615 SIN65586:SIN65615 SSJ65586:SSJ65615 TCF65586:TCF65615 TMB65586:TMB65615 TVX65586:TVX65615 UFT65586:UFT65615 UPP65586:UPP65615 UZL65586:UZL65615 VJH65586:VJH65615 VTD65586:VTD65615 WCZ65586:WCZ65615 WMV65586:WMV65615 AJ131122:AJ131151 KF131122:KF131151 UB131122:UB131151 ADX131122:ADX131151 ANT131122:ANT131151 AXP131122:AXP131151 BHL131122:BHL131151 BRH131122:BRH131151 CBD131122:CBD131151 CKZ131122:CKZ131151 CUV131122:CUV131151 DER131122:DER131151 DON131122:DON131151 DYJ131122:DYJ131151 EIF131122:EIF131151 ESB131122:ESB131151 FBX131122:FBX131151 FLT131122:FLT131151 FVP131122:FVP131151 GFL131122:GFL131151 GPH131122:GPH131151 GZD131122:GZD131151 HIZ131122:HIZ131151 HSV131122:HSV131151 ICR131122:ICR131151 IMN131122:IMN131151 IWJ131122:IWJ131151 JGF131122:JGF131151 JQB131122:JQB131151 JZX131122:JZX131151 KJT131122:KJT131151 KTP131122:KTP131151 LDL131122:LDL131151 LNH131122:LNH131151 LXD131122:LXD131151 MGZ131122:MGZ131151 MQV131122:MQV131151 NAR131122:NAR131151 NKN131122:NKN131151 NUJ131122:NUJ131151 OEF131122:OEF131151 OOB131122:OOB131151 OXX131122:OXX131151 PHT131122:PHT131151 PRP131122:PRP131151 QBL131122:QBL131151 QLH131122:QLH131151 QVD131122:QVD131151 REZ131122:REZ131151 ROV131122:ROV131151 RYR131122:RYR131151 SIN131122:SIN131151 SSJ131122:SSJ131151 TCF131122:TCF131151 TMB131122:TMB131151 TVX131122:TVX131151 UFT131122:UFT131151 UPP131122:UPP131151 UZL131122:UZL131151 VJH131122:VJH131151 VTD131122:VTD131151 WCZ131122:WCZ131151 WMV131122:WMV131151 AJ196658:AJ196687 KF196658:KF196687 UB196658:UB196687 ADX196658:ADX196687 ANT196658:ANT196687 AXP196658:AXP196687 BHL196658:BHL196687 BRH196658:BRH196687 CBD196658:CBD196687 CKZ196658:CKZ196687 CUV196658:CUV196687 DER196658:DER196687 DON196658:DON196687 DYJ196658:DYJ196687 EIF196658:EIF196687 ESB196658:ESB196687 FBX196658:FBX196687 FLT196658:FLT196687 FVP196658:FVP196687 GFL196658:GFL196687 GPH196658:GPH196687 GZD196658:GZD196687 HIZ196658:HIZ196687 HSV196658:HSV196687 ICR196658:ICR196687 IMN196658:IMN196687 IWJ196658:IWJ196687 JGF196658:JGF196687 JQB196658:JQB196687 JZX196658:JZX196687 KJT196658:KJT196687 KTP196658:KTP196687 LDL196658:LDL196687 LNH196658:LNH196687 LXD196658:LXD196687 MGZ196658:MGZ196687 MQV196658:MQV196687 NAR196658:NAR196687 NKN196658:NKN196687 NUJ196658:NUJ196687 OEF196658:OEF196687 OOB196658:OOB196687 OXX196658:OXX196687 PHT196658:PHT196687 PRP196658:PRP196687 QBL196658:QBL196687 QLH196658:QLH196687 QVD196658:QVD196687 REZ196658:REZ196687 ROV196658:ROV196687 RYR196658:RYR196687 SIN196658:SIN196687 SSJ196658:SSJ196687 TCF196658:TCF196687 TMB196658:TMB196687 TVX196658:TVX196687 UFT196658:UFT196687 UPP196658:UPP196687 UZL196658:UZL196687 VJH196658:VJH196687 VTD196658:VTD196687 WCZ196658:WCZ196687 WMV196658:WMV196687 AJ262194:AJ262223 KF262194:KF262223 UB262194:UB262223 ADX262194:ADX262223 ANT262194:ANT262223 AXP262194:AXP262223 BHL262194:BHL262223 BRH262194:BRH262223 CBD262194:CBD262223 CKZ262194:CKZ262223 CUV262194:CUV262223 DER262194:DER262223 DON262194:DON262223 DYJ262194:DYJ262223 EIF262194:EIF262223 ESB262194:ESB262223 FBX262194:FBX262223 FLT262194:FLT262223 FVP262194:FVP262223 GFL262194:GFL262223 GPH262194:GPH262223 GZD262194:GZD262223 HIZ262194:HIZ262223 HSV262194:HSV262223 ICR262194:ICR262223 IMN262194:IMN262223 IWJ262194:IWJ262223 JGF262194:JGF262223 JQB262194:JQB262223 JZX262194:JZX262223 KJT262194:KJT262223 KTP262194:KTP262223 LDL262194:LDL262223 LNH262194:LNH262223 LXD262194:LXD262223 MGZ262194:MGZ262223 MQV262194:MQV262223 NAR262194:NAR262223 NKN262194:NKN262223 NUJ262194:NUJ262223 OEF262194:OEF262223 OOB262194:OOB262223 OXX262194:OXX262223 PHT262194:PHT262223 PRP262194:PRP262223 QBL262194:QBL262223 QLH262194:QLH262223 QVD262194:QVD262223 REZ262194:REZ262223 ROV262194:ROV262223 RYR262194:RYR262223 SIN262194:SIN262223 SSJ262194:SSJ262223 TCF262194:TCF262223 TMB262194:TMB262223 TVX262194:TVX262223 UFT262194:UFT262223 UPP262194:UPP262223 UZL262194:UZL262223 VJH262194:VJH262223 VTD262194:VTD262223 WCZ262194:WCZ262223 WMV262194:WMV262223 AJ327730:AJ327759 KF327730:KF327759 UB327730:UB327759 ADX327730:ADX327759 ANT327730:ANT327759 AXP327730:AXP327759 BHL327730:BHL327759 BRH327730:BRH327759 CBD327730:CBD327759 CKZ327730:CKZ327759 CUV327730:CUV327759 DER327730:DER327759 DON327730:DON327759 DYJ327730:DYJ327759 EIF327730:EIF327759 ESB327730:ESB327759 FBX327730:FBX327759 FLT327730:FLT327759 FVP327730:FVP327759 GFL327730:GFL327759 GPH327730:GPH327759 GZD327730:GZD327759 HIZ327730:HIZ327759 HSV327730:HSV327759 ICR327730:ICR327759 IMN327730:IMN327759 IWJ327730:IWJ327759 JGF327730:JGF327759 JQB327730:JQB327759 JZX327730:JZX327759 KJT327730:KJT327759 KTP327730:KTP327759 LDL327730:LDL327759 LNH327730:LNH327759 LXD327730:LXD327759 MGZ327730:MGZ327759 MQV327730:MQV327759 NAR327730:NAR327759 NKN327730:NKN327759 NUJ327730:NUJ327759 OEF327730:OEF327759 OOB327730:OOB327759 OXX327730:OXX327759 PHT327730:PHT327759 PRP327730:PRP327759 QBL327730:QBL327759 QLH327730:QLH327759 QVD327730:QVD327759 REZ327730:REZ327759 ROV327730:ROV327759 RYR327730:RYR327759 SIN327730:SIN327759 SSJ327730:SSJ327759 TCF327730:TCF327759 TMB327730:TMB327759 TVX327730:TVX327759 UFT327730:UFT327759 UPP327730:UPP327759 UZL327730:UZL327759 VJH327730:VJH327759 VTD327730:VTD327759 WCZ327730:WCZ327759 WMV327730:WMV327759 AJ393266:AJ393295 KF393266:KF393295 UB393266:UB393295 ADX393266:ADX393295 ANT393266:ANT393295 AXP393266:AXP393295 BHL393266:BHL393295 BRH393266:BRH393295 CBD393266:CBD393295 CKZ393266:CKZ393295 CUV393266:CUV393295 DER393266:DER393295 DON393266:DON393295 DYJ393266:DYJ393295 EIF393266:EIF393295 ESB393266:ESB393295 FBX393266:FBX393295 FLT393266:FLT393295 FVP393266:FVP393295 GFL393266:GFL393295 GPH393266:GPH393295 GZD393266:GZD393295 HIZ393266:HIZ393295 HSV393266:HSV393295 ICR393266:ICR393295 IMN393266:IMN393295 IWJ393266:IWJ393295 JGF393266:JGF393295 JQB393266:JQB393295 JZX393266:JZX393295 KJT393266:KJT393295 KTP393266:KTP393295 LDL393266:LDL393295 LNH393266:LNH393295 LXD393266:LXD393295 MGZ393266:MGZ393295 MQV393266:MQV393295 NAR393266:NAR393295 NKN393266:NKN393295 NUJ393266:NUJ393295 OEF393266:OEF393295 OOB393266:OOB393295 OXX393266:OXX393295 PHT393266:PHT393295 PRP393266:PRP393295 QBL393266:QBL393295 QLH393266:QLH393295 QVD393266:QVD393295 REZ393266:REZ393295 ROV393266:ROV393295 RYR393266:RYR393295 SIN393266:SIN393295 SSJ393266:SSJ393295 TCF393266:TCF393295 TMB393266:TMB393295 TVX393266:TVX393295 UFT393266:UFT393295 UPP393266:UPP393295 UZL393266:UZL393295 VJH393266:VJH393295 VTD393266:VTD393295 WCZ393266:WCZ393295 WMV393266:WMV393295 AJ458802:AJ458831 KF458802:KF458831 UB458802:UB458831 ADX458802:ADX458831 ANT458802:ANT458831 AXP458802:AXP458831 BHL458802:BHL458831 BRH458802:BRH458831 CBD458802:CBD458831 CKZ458802:CKZ458831 CUV458802:CUV458831 DER458802:DER458831 DON458802:DON458831 DYJ458802:DYJ458831 EIF458802:EIF458831 ESB458802:ESB458831 FBX458802:FBX458831 FLT458802:FLT458831 FVP458802:FVP458831 GFL458802:GFL458831 GPH458802:GPH458831 GZD458802:GZD458831 HIZ458802:HIZ458831 HSV458802:HSV458831 ICR458802:ICR458831 IMN458802:IMN458831 IWJ458802:IWJ458831 JGF458802:JGF458831 JQB458802:JQB458831 JZX458802:JZX458831 KJT458802:KJT458831 KTP458802:KTP458831 LDL458802:LDL458831 LNH458802:LNH458831 LXD458802:LXD458831 MGZ458802:MGZ458831 MQV458802:MQV458831 NAR458802:NAR458831 NKN458802:NKN458831 NUJ458802:NUJ458831 OEF458802:OEF458831 OOB458802:OOB458831 OXX458802:OXX458831 PHT458802:PHT458831 PRP458802:PRP458831 QBL458802:QBL458831 QLH458802:QLH458831 QVD458802:QVD458831 REZ458802:REZ458831 ROV458802:ROV458831 RYR458802:RYR458831 SIN458802:SIN458831 SSJ458802:SSJ458831 TCF458802:TCF458831 TMB458802:TMB458831 TVX458802:TVX458831 UFT458802:UFT458831 UPP458802:UPP458831 UZL458802:UZL458831 VJH458802:VJH458831 VTD458802:VTD458831 WCZ458802:WCZ458831 WMV458802:WMV458831 AJ524338:AJ524367 KF524338:KF524367 UB524338:UB524367 ADX524338:ADX524367 ANT524338:ANT524367 AXP524338:AXP524367 BHL524338:BHL524367 BRH524338:BRH524367 CBD524338:CBD524367 CKZ524338:CKZ524367 CUV524338:CUV524367 DER524338:DER524367 DON524338:DON524367 DYJ524338:DYJ524367 EIF524338:EIF524367 ESB524338:ESB524367 FBX524338:FBX524367 FLT524338:FLT524367 FVP524338:FVP524367 GFL524338:GFL524367 GPH524338:GPH524367 GZD524338:GZD524367 HIZ524338:HIZ524367 HSV524338:HSV524367 ICR524338:ICR524367 IMN524338:IMN524367 IWJ524338:IWJ524367 JGF524338:JGF524367 JQB524338:JQB524367 JZX524338:JZX524367 KJT524338:KJT524367 KTP524338:KTP524367 LDL524338:LDL524367 LNH524338:LNH524367 LXD524338:LXD524367 MGZ524338:MGZ524367 MQV524338:MQV524367 NAR524338:NAR524367 NKN524338:NKN524367 NUJ524338:NUJ524367 OEF524338:OEF524367 OOB524338:OOB524367 OXX524338:OXX524367 PHT524338:PHT524367 PRP524338:PRP524367 QBL524338:QBL524367 QLH524338:QLH524367 QVD524338:QVD524367 REZ524338:REZ524367 ROV524338:ROV524367 RYR524338:RYR524367 SIN524338:SIN524367 SSJ524338:SSJ524367 TCF524338:TCF524367 TMB524338:TMB524367 TVX524338:TVX524367 UFT524338:UFT524367 UPP524338:UPP524367 UZL524338:UZL524367 VJH524338:VJH524367 VTD524338:VTD524367 WCZ524338:WCZ524367 WMV524338:WMV524367 AJ589874:AJ589903 KF589874:KF589903 UB589874:UB589903 ADX589874:ADX589903 ANT589874:ANT589903 AXP589874:AXP589903 BHL589874:BHL589903 BRH589874:BRH589903 CBD589874:CBD589903 CKZ589874:CKZ589903 CUV589874:CUV589903 DER589874:DER589903 DON589874:DON589903 DYJ589874:DYJ589903 EIF589874:EIF589903 ESB589874:ESB589903 FBX589874:FBX589903 FLT589874:FLT589903 FVP589874:FVP589903 GFL589874:GFL589903 GPH589874:GPH589903 GZD589874:GZD589903 HIZ589874:HIZ589903 HSV589874:HSV589903 ICR589874:ICR589903 IMN589874:IMN589903 IWJ589874:IWJ589903 JGF589874:JGF589903 JQB589874:JQB589903 JZX589874:JZX589903 KJT589874:KJT589903 KTP589874:KTP589903 LDL589874:LDL589903 LNH589874:LNH589903 LXD589874:LXD589903 MGZ589874:MGZ589903 MQV589874:MQV589903 NAR589874:NAR589903 NKN589874:NKN589903 NUJ589874:NUJ589903 OEF589874:OEF589903 OOB589874:OOB589903 OXX589874:OXX589903 PHT589874:PHT589903 PRP589874:PRP589903 QBL589874:QBL589903 QLH589874:QLH589903 QVD589874:QVD589903 REZ589874:REZ589903 ROV589874:ROV589903 RYR589874:RYR589903 SIN589874:SIN589903 SSJ589874:SSJ589903 TCF589874:TCF589903 TMB589874:TMB589903 TVX589874:TVX589903 UFT589874:UFT589903 UPP589874:UPP589903 UZL589874:UZL589903 VJH589874:VJH589903 VTD589874:VTD589903 WCZ589874:WCZ589903 WMV589874:WMV589903 AJ655410:AJ655439 KF655410:KF655439 UB655410:UB655439 ADX655410:ADX655439 ANT655410:ANT655439 AXP655410:AXP655439 BHL655410:BHL655439 BRH655410:BRH655439 CBD655410:CBD655439 CKZ655410:CKZ655439 CUV655410:CUV655439 DER655410:DER655439 DON655410:DON655439 DYJ655410:DYJ655439 EIF655410:EIF655439 ESB655410:ESB655439 FBX655410:FBX655439 FLT655410:FLT655439 FVP655410:FVP655439 GFL655410:GFL655439 GPH655410:GPH655439 GZD655410:GZD655439 HIZ655410:HIZ655439 HSV655410:HSV655439 ICR655410:ICR655439 IMN655410:IMN655439 IWJ655410:IWJ655439 JGF655410:JGF655439 JQB655410:JQB655439 JZX655410:JZX655439 KJT655410:KJT655439 KTP655410:KTP655439 LDL655410:LDL655439 LNH655410:LNH655439 LXD655410:LXD655439 MGZ655410:MGZ655439 MQV655410:MQV655439 NAR655410:NAR655439 NKN655410:NKN655439 NUJ655410:NUJ655439 OEF655410:OEF655439 OOB655410:OOB655439 OXX655410:OXX655439 PHT655410:PHT655439 PRP655410:PRP655439 QBL655410:QBL655439 QLH655410:QLH655439 QVD655410:QVD655439 REZ655410:REZ655439 ROV655410:ROV655439 RYR655410:RYR655439 SIN655410:SIN655439 SSJ655410:SSJ655439 TCF655410:TCF655439 TMB655410:TMB655439 TVX655410:TVX655439 UFT655410:UFT655439 UPP655410:UPP655439 UZL655410:UZL655439 VJH655410:VJH655439 VTD655410:VTD655439 WCZ655410:WCZ655439 WMV655410:WMV655439 AJ720946:AJ720975 KF720946:KF720975 UB720946:UB720975 ADX720946:ADX720975 ANT720946:ANT720975 AXP720946:AXP720975 BHL720946:BHL720975 BRH720946:BRH720975 CBD720946:CBD720975 CKZ720946:CKZ720975 CUV720946:CUV720975 DER720946:DER720975 DON720946:DON720975 DYJ720946:DYJ720975 EIF720946:EIF720975 ESB720946:ESB720975 FBX720946:FBX720975 FLT720946:FLT720975 FVP720946:FVP720975 GFL720946:GFL720975 GPH720946:GPH720975 GZD720946:GZD720975 HIZ720946:HIZ720975 HSV720946:HSV720975 ICR720946:ICR720975 IMN720946:IMN720975 IWJ720946:IWJ720975 JGF720946:JGF720975 JQB720946:JQB720975 JZX720946:JZX720975 KJT720946:KJT720975 KTP720946:KTP720975 LDL720946:LDL720975 LNH720946:LNH720975 LXD720946:LXD720975 MGZ720946:MGZ720975 MQV720946:MQV720975 NAR720946:NAR720975 NKN720946:NKN720975 NUJ720946:NUJ720975 OEF720946:OEF720975 OOB720946:OOB720975 OXX720946:OXX720975 PHT720946:PHT720975 PRP720946:PRP720975 QBL720946:QBL720975 QLH720946:QLH720975 QVD720946:QVD720975 REZ720946:REZ720975 ROV720946:ROV720975 RYR720946:RYR720975 SIN720946:SIN720975 SSJ720946:SSJ720975 TCF720946:TCF720975 TMB720946:TMB720975 TVX720946:TVX720975 UFT720946:UFT720975 UPP720946:UPP720975 UZL720946:UZL720975 VJH720946:VJH720975 VTD720946:VTD720975 WCZ720946:WCZ720975 WMV720946:WMV720975 AJ786482:AJ786511 KF786482:KF786511 UB786482:UB786511 ADX786482:ADX786511 ANT786482:ANT786511 AXP786482:AXP786511 BHL786482:BHL786511 BRH786482:BRH786511 CBD786482:CBD786511 CKZ786482:CKZ786511 CUV786482:CUV786511 DER786482:DER786511 DON786482:DON786511 DYJ786482:DYJ786511 EIF786482:EIF786511 ESB786482:ESB786511 FBX786482:FBX786511 FLT786482:FLT786511 FVP786482:FVP786511 GFL786482:GFL786511 GPH786482:GPH786511 GZD786482:GZD786511 HIZ786482:HIZ786511 HSV786482:HSV786511 ICR786482:ICR786511 IMN786482:IMN786511 IWJ786482:IWJ786511 JGF786482:JGF786511 JQB786482:JQB786511 JZX786482:JZX786511 KJT786482:KJT786511 KTP786482:KTP786511 LDL786482:LDL786511 LNH786482:LNH786511 LXD786482:LXD786511 MGZ786482:MGZ786511 MQV786482:MQV786511 NAR786482:NAR786511 NKN786482:NKN786511 NUJ786482:NUJ786511 OEF786482:OEF786511 OOB786482:OOB786511 OXX786482:OXX786511 PHT786482:PHT786511 PRP786482:PRP786511 QBL786482:QBL786511 QLH786482:QLH786511 QVD786482:QVD786511 REZ786482:REZ786511 ROV786482:ROV786511 RYR786482:RYR786511 SIN786482:SIN786511 SSJ786482:SSJ786511 TCF786482:TCF786511 TMB786482:TMB786511 TVX786482:TVX786511 UFT786482:UFT786511 UPP786482:UPP786511 UZL786482:UZL786511 VJH786482:VJH786511 VTD786482:VTD786511 WCZ786482:WCZ786511 WMV786482:WMV786511 AJ852018:AJ852047 KF852018:KF852047 UB852018:UB852047 ADX852018:ADX852047 ANT852018:ANT852047 AXP852018:AXP852047 BHL852018:BHL852047 BRH852018:BRH852047 CBD852018:CBD852047 CKZ852018:CKZ852047 CUV852018:CUV852047 DER852018:DER852047 DON852018:DON852047 DYJ852018:DYJ852047 EIF852018:EIF852047 ESB852018:ESB852047 FBX852018:FBX852047 FLT852018:FLT852047 FVP852018:FVP852047 GFL852018:GFL852047 GPH852018:GPH852047 GZD852018:GZD852047 HIZ852018:HIZ852047 HSV852018:HSV852047 ICR852018:ICR852047 IMN852018:IMN852047 IWJ852018:IWJ852047 JGF852018:JGF852047 JQB852018:JQB852047 JZX852018:JZX852047 KJT852018:KJT852047 KTP852018:KTP852047 LDL852018:LDL852047 LNH852018:LNH852047 LXD852018:LXD852047 MGZ852018:MGZ852047 MQV852018:MQV852047 NAR852018:NAR852047 NKN852018:NKN852047 NUJ852018:NUJ852047 OEF852018:OEF852047 OOB852018:OOB852047 OXX852018:OXX852047 PHT852018:PHT852047 PRP852018:PRP852047 QBL852018:QBL852047 QLH852018:QLH852047 QVD852018:QVD852047 REZ852018:REZ852047 ROV852018:ROV852047 RYR852018:RYR852047 SIN852018:SIN852047 SSJ852018:SSJ852047 TCF852018:TCF852047 TMB852018:TMB852047 TVX852018:TVX852047 UFT852018:UFT852047 UPP852018:UPP852047 UZL852018:UZL852047 VJH852018:VJH852047 VTD852018:VTD852047 WCZ852018:WCZ852047 WMV852018:WMV852047 AJ917554:AJ917583 KF917554:KF917583 UB917554:UB917583 ADX917554:ADX917583 ANT917554:ANT917583 AXP917554:AXP917583 BHL917554:BHL917583 BRH917554:BRH917583 CBD917554:CBD917583 CKZ917554:CKZ917583 CUV917554:CUV917583 DER917554:DER917583 DON917554:DON917583 DYJ917554:DYJ917583 EIF917554:EIF917583 ESB917554:ESB917583 FBX917554:FBX917583 FLT917554:FLT917583 FVP917554:FVP917583 GFL917554:GFL917583 GPH917554:GPH917583 GZD917554:GZD917583 HIZ917554:HIZ917583 HSV917554:HSV917583 ICR917554:ICR917583 IMN917554:IMN917583 IWJ917554:IWJ917583 JGF917554:JGF917583 JQB917554:JQB917583 JZX917554:JZX917583 KJT917554:KJT917583 KTP917554:KTP917583 LDL917554:LDL917583 LNH917554:LNH917583 LXD917554:LXD917583 MGZ917554:MGZ917583 MQV917554:MQV917583 NAR917554:NAR917583 NKN917554:NKN917583 NUJ917554:NUJ917583 OEF917554:OEF917583 OOB917554:OOB917583 OXX917554:OXX917583 PHT917554:PHT917583 PRP917554:PRP917583 QBL917554:QBL917583 QLH917554:QLH917583 QVD917554:QVD917583 REZ917554:REZ917583 ROV917554:ROV917583 RYR917554:RYR917583 SIN917554:SIN917583 SSJ917554:SSJ917583 TCF917554:TCF917583 TMB917554:TMB917583 TVX917554:TVX917583 UFT917554:UFT917583 UPP917554:UPP917583 UZL917554:UZL917583 VJH917554:VJH917583 VTD917554:VTD917583 WCZ917554:WCZ917583 WMV917554:WMV917583 AJ983090:AJ983119 KF983090:KF983119 UB983090:UB983119 ADX983090:ADX983119 ANT983090:ANT983119 AXP983090:AXP983119 BHL983090:BHL983119 BRH983090:BRH983119 CBD983090:CBD983119 CKZ983090:CKZ983119 CUV983090:CUV983119 DER983090:DER983119 DON983090:DON983119 DYJ983090:DYJ983119 EIF983090:EIF983119 ESB983090:ESB983119 FBX983090:FBX983119 FLT983090:FLT983119 FVP983090:FVP983119 GFL983090:GFL983119 GPH983090:GPH983119 GZD983090:GZD983119 HIZ983090:HIZ983119 HSV983090:HSV983119 ICR983090:ICR983119 IMN983090:IMN983119 IWJ983090:IWJ983119 JGF983090:JGF983119 JQB983090:JQB983119 JZX983090:JZX983119 KJT983090:KJT983119 KTP983090:KTP983119 LDL983090:LDL983119 LNH983090:LNH983119 LXD983090:LXD983119 MGZ983090:MGZ983119 MQV983090:MQV983119 NAR983090:NAR983119 NKN983090:NKN983119 NUJ983090:NUJ983119 OEF983090:OEF983119 OOB983090:OOB983119 OXX983090:OXX983119 PHT983090:PHT983119 PRP983090:PRP983119 QBL983090:QBL983119 QLH983090:QLH983119 QVD983090:QVD983119 REZ983090:REZ983119 ROV983090:ROV983119 RYR983090:RYR983119 SIN983090:SIN983119 SSJ983090:SSJ983119 TCF983090:TCF983119 TMB983090:TMB983119 TVX983090:TVX983119 UFT983090:UFT983119 UPP983090:UPP983119 UZL983090:UZL983119 VJH983090:VJH983119 VTD983090:VTD983119 WCZ983090:WCZ983119 T19 T10 T13 AF6:AF83 KB6:KB83 TX6:TX83 ADT6:ADT83 ANP6:ANP83 AXL6:AXL83 BHH6:BHH83 BRD6:BRD83 CAZ6:CAZ83 CKV6:CKV83 CUR6:CUR83 DEN6:DEN83 DOJ6:DOJ83 DYF6:DYF83 EIB6:EIB83 ERX6:ERX83 FBT6:FBT83 FLP6:FLP83 FVL6:FVL83 GFH6:GFH83 GPD6:GPD83 GYZ6:GYZ83 HIV6:HIV83 HSR6:HSR83 ICN6:ICN83 IMJ6:IMJ83 IWF6:IWF83 JGB6:JGB83 JPX6:JPX83 JZT6:JZT83 KJP6:KJP83 KTL6:KTL83 LDH6:LDH83 LND6:LND83 LWZ6:LWZ83 MGV6:MGV83 MQR6:MQR83 NAN6:NAN83 NKJ6:NKJ83 NUF6:NUF83 OEB6:OEB83 ONX6:ONX83 OXT6:OXT83 PHP6:PHP83 PRL6:PRL83 QBH6:QBH83 QLD6:QLD83 QUZ6:QUZ83 REV6:REV83 ROR6:ROR83 RYN6:RYN83 SIJ6:SIJ83 SSF6:SSF83 TCB6:TCB83 TLX6:TLX83 TVT6:TVT83 UFP6:UFP83 UPL6:UPL83 UZH6:UZH83 VJD6:VJD83 WMR6:WMR83 VSZ6:VSZ83 WCV6:WCV83 T16" xr:uid="{855F6B68-028B-4980-B22A-8A39AD64CF66}">
      <formula1>"สมเด็จ, มานพ, นิคม, คลองเตย,"</formula1>
    </dataValidation>
    <dataValidation type="list" allowBlank="1" showInputMessage="1" showErrorMessage="1" sqref="WMU983090:WMU983119 AI65586:AI65615 KE65586:KE65615 UA65586:UA65615 ADW65586:ADW65615 ANS65586:ANS65615 AXO65586:AXO65615 BHK65586:BHK65615 BRG65586:BRG65615 CBC65586:CBC65615 CKY65586:CKY65615 CUU65586:CUU65615 DEQ65586:DEQ65615 DOM65586:DOM65615 DYI65586:DYI65615 EIE65586:EIE65615 ESA65586:ESA65615 FBW65586:FBW65615 FLS65586:FLS65615 FVO65586:FVO65615 GFK65586:GFK65615 GPG65586:GPG65615 GZC65586:GZC65615 HIY65586:HIY65615 HSU65586:HSU65615 ICQ65586:ICQ65615 IMM65586:IMM65615 IWI65586:IWI65615 JGE65586:JGE65615 JQA65586:JQA65615 JZW65586:JZW65615 KJS65586:KJS65615 KTO65586:KTO65615 LDK65586:LDK65615 LNG65586:LNG65615 LXC65586:LXC65615 MGY65586:MGY65615 MQU65586:MQU65615 NAQ65586:NAQ65615 NKM65586:NKM65615 NUI65586:NUI65615 OEE65586:OEE65615 OOA65586:OOA65615 OXW65586:OXW65615 PHS65586:PHS65615 PRO65586:PRO65615 QBK65586:QBK65615 QLG65586:QLG65615 QVC65586:QVC65615 REY65586:REY65615 ROU65586:ROU65615 RYQ65586:RYQ65615 SIM65586:SIM65615 SSI65586:SSI65615 TCE65586:TCE65615 TMA65586:TMA65615 TVW65586:TVW65615 UFS65586:UFS65615 UPO65586:UPO65615 UZK65586:UZK65615 VJG65586:VJG65615 VTC65586:VTC65615 WCY65586:WCY65615 WMU65586:WMU65615 AI131122:AI131151 KE131122:KE131151 UA131122:UA131151 ADW131122:ADW131151 ANS131122:ANS131151 AXO131122:AXO131151 BHK131122:BHK131151 BRG131122:BRG131151 CBC131122:CBC131151 CKY131122:CKY131151 CUU131122:CUU131151 DEQ131122:DEQ131151 DOM131122:DOM131151 DYI131122:DYI131151 EIE131122:EIE131151 ESA131122:ESA131151 FBW131122:FBW131151 FLS131122:FLS131151 FVO131122:FVO131151 GFK131122:GFK131151 GPG131122:GPG131151 GZC131122:GZC131151 HIY131122:HIY131151 HSU131122:HSU131151 ICQ131122:ICQ131151 IMM131122:IMM131151 IWI131122:IWI131151 JGE131122:JGE131151 JQA131122:JQA131151 JZW131122:JZW131151 KJS131122:KJS131151 KTO131122:KTO131151 LDK131122:LDK131151 LNG131122:LNG131151 LXC131122:LXC131151 MGY131122:MGY131151 MQU131122:MQU131151 NAQ131122:NAQ131151 NKM131122:NKM131151 NUI131122:NUI131151 OEE131122:OEE131151 OOA131122:OOA131151 OXW131122:OXW131151 PHS131122:PHS131151 PRO131122:PRO131151 QBK131122:QBK131151 QLG131122:QLG131151 QVC131122:QVC131151 REY131122:REY131151 ROU131122:ROU131151 RYQ131122:RYQ131151 SIM131122:SIM131151 SSI131122:SSI131151 TCE131122:TCE131151 TMA131122:TMA131151 TVW131122:TVW131151 UFS131122:UFS131151 UPO131122:UPO131151 UZK131122:UZK131151 VJG131122:VJG131151 VTC131122:VTC131151 WCY131122:WCY131151 WMU131122:WMU131151 AI196658:AI196687 KE196658:KE196687 UA196658:UA196687 ADW196658:ADW196687 ANS196658:ANS196687 AXO196658:AXO196687 BHK196658:BHK196687 BRG196658:BRG196687 CBC196658:CBC196687 CKY196658:CKY196687 CUU196658:CUU196687 DEQ196658:DEQ196687 DOM196658:DOM196687 DYI196658:DYI196687 EIE196658:EIE196687 ESA196658:ESA196687 FBW196658:FBW196687 FLS196658:FLS196687 FVO196658:FVO196687 GFK196658:GFK196687 GPG196658:GPG196687 GZC196658:GZC196687 HIY196658:HIY196687 HSU196658:HSU196687 ICQ196658:ICQ196687 IMM196658:IMM196687 IWI196658:IWI196687 JGE196658:JGE196687 JQA196658:JQA196687 JZW196658:JZW196687 KJS196658:KJS196687 KTO196658:KTO196687 LDK196658:LDK196687 LNG196658:LNG196687 LXC196658:LXC196687 MGY196658:MGY196687 MQU196658:MQU196687 NAQ196658:NAQ196687 NKM196658:NKM196687 NUI196658:NUI196687 OEE196658:OEE196687 OOA196658:OOA196687 OXW196658:OXW196687 PHS196658:PHS196687 PRO196658:PRO196687 QBK196658:QBK196687 QLG196658:QLG196687 QVC196658:QVC196687 REY196658:REY196687 ROU196658:ROU196687 RYQ196658:RYQ196687 SIM196658:SIM196687 SSI196658:SSI196687 TCE196658:TCE196687 TMA196658:TMA196687 TVW196658:TVW196687 UFS196658:UFS196687 UPO196658:UPO196687 UZK196658:UZK196687 VJG196658:VJG196687 VTC196658:VTC196687 WCY196658:WCY196687 WMU196658:WMU196687 AI262194:AI262223 KE262194:KE262223 UA262194:UA262223 ADW262194:ADW262223 ANS262194:ANS262223 AXO262194:AXO262223 BHK262194:BHK262223 BRG262194:BRG262223 CBC262194:CBC262223 CKY262194:CKY262223 CUU262194:CUU262223 DEQ262194:DEQ262223 DOM262194:DOM262223 DYI262194:DYI262223 EIE262194:EIE262223 ESA262194:ESA262223 FBW262194:FBW262223 FLS262194:FLS262223 FVO262194:FVO262223 GFK262194:GFK262223 GPG262194:GPG262223 GZC262194:GZC262223 HIY262194:HIY262223 HSU262194:HSU262223 ICQ262194:ICQ262223 IMM262194:IMM262223 IWI262194:IWI262223 JGE262194:JGE262223 JQA262194:JQA262223 JZW262194:JZW262223 KJS262194:KJS262223 KTO262194:KTO262223 LDK262194:LDK262223 LNG262194:LNG262223 LXC262194:LXC262223 MGY262194:MGY262223 MQU262194:MQU262223 NAQ262194:NAQ262223 NKM262194:NKM262223 NUI262194:NUI262223 OEE262194:OEE262223 OOA262194:OOA262223 OXW262194:OXW262223 PHS262194:PHS262223 PRO262194:PRO262223 QBK262194:QBK262223 QLG262194:QLG262223 QVC262194:QVC262223 REY262194:REY262223 ROU262194:ROU262223 RYQ262194:RYQ262223 SIM262194:SIM262223 SSI262194:SSI262223 TCE262194:TCE262223 TMA262194:TMA262223 TVW262194:TVW262223 UFS262194:UFS262223 UPO262194:UPO262223 UZK262194:UZK262223 VJG262194:VJG262223 VTC262194:VTC262223 WCY262194:WCY262223 WMU262194:WMU262223 AI327730:AI327759 KE327730:KE327759 UA327730:UA327759 ADW327730:ADW327759 ANS327730:ANS327759 AXO327730:AXO327759 BHK327730:BHK327759 BRG327730:BRG327759 CBC327730:CBC327759 CKY327730:CKY327759 CUU327730:CUU327759 DEQ327730:DEQ327759 DOM327730:DOM327759 DYI327730:DYI327759 EIE327730:EIE327759 ESA327730:ESA327759 FBW327730:FBW327759 FLS327730:FLS327759 FVO327730:FVO327759 GFK327730:GFK327759 GPG327730:GPG327759 GZC327730:GZC327759 HIY327730:HIY327759 HSU327730:HSU327759 ICQ327730:ICQ327759 IMM327730:IMM327759 IWI327730:IWI327759 JGE327730:JGE327759 JQA327730:JQA327759 JZW327730:JZW327759 KJS327730:KJS327759 KTO327730:KTO327759 LDK327730:LDK327759 LNG327730:LNG327759 LXC327730:LXC327759 MGY327730:MGY327759 MQU327730:MQU327759 NAQ327730:NAQ327759 NKM327730:NKM327759 NUI327730:NUI327759 OEE327730:OEE327759 OOA327730:OOA327759 OXW327730:OXW327759 PHS327730:PHS327759 PRO327730:PRO327759 QBK327730:QBK327759 QLG327730:QLG327759 QVC327730:QVC327759 REY327730:REY327759 ROU327730:ROU327759 RYQ327730:RYQ327759 SIM327730:SIM327759 SSI327730:SSI327759 TCE327730:TCE327759 TMA327730:TMA327759 TVW327730:TVW327759 UFS327730:UFS327759 UPO327730:UPO327759 UZK327730:UZK327759 VJG327730:VJG327759 VTC327730:VTC327759 WCY327730:WCY327759 WMU327730:WMU327759 AI393266:AI393295 KE393266:KE393295 UA393266:UA393295 ADW393266:ADW393295 ANS393266:ANS393295 AXO393266:AXO393295 BHK393266:BHK393295 BRG393266:BRG393295 CBC393266:CBC393295 CKY393266:CKY393295 CUU393266:CUU393295 DEQ393266:DEQ393295 DOM393266:DOM393295 DYI393266:DYI393295 EIE393266:EIE393295 ESA393266:ESA393295 FBW393266:FBW393295 FLS393266:FLS393295 FVO393266:FVO393295 GFK393266:GFK393295 GPG393266:GPG393295 GZC393266:GZC393295 HIY393266:HIY393295 HSU393266:HSU393295 ICQ393266:ICQ393295 IMM393266:IMM393295 IWI393266:IWI393295 JGE393266:JGE393295 JQA393266:JQA393295 JZW393266:JZW393295 KJS393266:KJS393295 KTO393266:KTO393295 LDK393266:LDK393295 LNG393266:LNG393295 LXC393266:LXC393295 MGY393266:MGY393295 MQU393266:MQU393295 NAQ393266:NAQ393295 NKM393266:NKM393295 NUI393266:NUI393295 OEE393266:OEE393295 OOA393266:OOA393295 OXW393266:OXW393295 PHS393266:PHS393295 PRO393266:PRO393295 QBK393266:QBK393295 QLG393266:QLG393295 QVC393266:QVC393295 REY393266:REY393295 ROU393266:ROU393295 RYQ393266:RYQ393295 SIM393266:SIM393295 SSI393266:SSI393295 TCE393266:TCE393295 TMA393266:TMA393295 TVW393266:TVW393295 UFS393266:UFS393295 UPO393266:UPO393295 UZK393266:UZK393295 VJG393266:VJG393295 VTC393266:VTC393295 WCY393266:WCY393295 WMU393266:WMU393295 AI458802:AI458831 KE458802:KE458831 UA458802:UA458831 ADW458802:ADW458831 ANS458802:ANS458831 AXO458802:AXO458831 BHK458802:BHK458831 BRG458802:BRG458831 CBC458802:CBC458831 CKY458802:CKY458831 CUU458802:CUU458831 DEQ458802:DEQ458831 DOM458802:DOM458831 DYI458802:DYI458831 EIE458802:EIE458831 ESA458802:ESA458831 FBW458802:FBW458831 FLS458802:FLS458831 FVO458802:FVO458831 GFK458802:GFK458831 GPG458802:GPG458831 GZC458802:GZC458831 HIY458802:HIY458831 HSU458802:HSU458831 ICQ458802:ICQ458831 IMM458802:IMM458831 IWI458802:IWI458831 JGE458802:JGE458831 JQA458802:JQA458831 JZW458802:JZW458831 KJS458802:KJS458831 KTO458802:KTO458831 LDK458802:LDK458831 LNG458802:LNG458831 LXC458802:LXC458831 MGY458802:MGY458831 MQU458802:MQU458831 NAQ458802:NAQ458831 NKM458802:NKM458831 NUI458802:NUI458831 OEE458802:OEE458831 OOA458802:OOA458831 OXW458802:OXW458831 PHS458802:PHS458831 PRO458802:PRO458831 QBK458802:QBK458831 QLG458802:QLG458831 QVC458802:QVC458831 REY458802:REY458831 ROU458802:ROU458831 RYQ458802:RYQ458831 SIM458802:SIM458831 SSI458802:SSI458831 TCE458802:TCE458831 TMA458802:TMA458831 TVW458802:TVW458831 UFS458802:UFS458831 UPO458802:UPO458831 UZK458802:UZK458831 VJG458802:VJG458831 VTC458802:VTC458831 WCY458802:WCY458831 WMU458802:WMU458831 AI524338:AI524367 KE524338:KE524367 UA524338:UA524367 ADW524338:ADW524367 ANS524338:ANS524367 AXO524338:AXO524367 BHK524338:BHK524367 BRG524338:BRG524367 CBC524338:CBC524367 CKY524338:CKY524367 CUU524338:CUU524367 DEQ524338:DEQ524367 DOM524338:DOM524367 DYI524338:DYI524367 EIE524338:EIE524367 ESA524338:ESA524367 FBW524338:FBW524367 FLS524338:FLS524367 FVO524338:FVO524367 GFK524338:GFK524367 GPG524338:GPG524367 GZC524338:GZC524367 HIY524338:HIY524367 HSU524338:HSU524367 ICQ524338:ICQ524367 IMM524338:IMM524367 IWI524338:IWI524367 JGE524338:JGE524367 JQA524338:JQA524367 JZW524338:JZW524367 KJS524338:KJS524367 KTO524338:KTO524367 LDK524338:LDK524367 LNG524338:LNG524367 LXC524338:LXC524367 MGY524338:MGY524367 MQU524338:MQU524367 NAQ524338:NAQ524367 NKM524338:NKM524367 NUI524338:NUI524367 OEE524338:OEE524367 OOA524338:OOA524367 OXW524338:OXW524367 PHS524338:PHS524367 PRO524338:PRO524367 QBK524338:QBK524367 QLG524338:QLG524367 QVC524338:QVC524367 REY524338:REY524367 ROU524338:ROU524367 RYQ524338:RYQ524367 SIM524338:SIM524367 SSI524338:SSI524367 TCE524338:TCE524367 TMA524338:TMA524367 TVW524338:TVW524367 UFS524338:UFS524367 UPO524338:UPO524367 UZK524338:UZK524367 VJG524338:VJG524367 VTC524338:VTC524367 WCY524338:WCY524367 WMU524338:WMU524367 AI589874:AI589903 KE589874:KE589903 UA589874:UA589903 ADW589874:ADW589903 ANS589874:ANS589903 AXO589874:AXO589903 BHK589874:BHK589903 BRG589874:BRG589903 CBC589874:CBC589903 CKY589874:CKY589903 CUU589874:CUU589903 DEQ589874:DEQ589903 DOM589874:DOM589903 DYI589874:DYI589903 EIE589874:EIE589903 ESA589874:ESA589903 FBW589874:FBW589903 FLS589874:FLS589903 FVO589874:FVO589903 GFK589874:GFK589903 GPG589874:GPG589903 GZC589874:GZC589903 HIY589874:HIY589903 HSU589874:HSU589903 ICQ589874:ICQ589903 IMM589874:IMM589903 IWI589874:IWI589903 JGE589874:JGE589903 JQA589874:JQA589903 JZW589874:JZW589903 KJS589874:KJS589903 KTO589874:KTO589903 LDK589874:LDK589903 LNG589874:LNG589903 LXC589874:LXC589903 MGY589874:MGY589903 MQU589874:MQU589903 NAQ589874:NAQ589903 NKM589874:NKM589903 NUI589874:NUI589903 OEE589874:OEE589903 OOA589874:OOA589903 OXW589874:OXW589903 PHS589874:PHS589903 PRO589874:PRO589903 QBK589874:QBK589903 QLG589874:QLG589903 QVC589874:QVC589903 REY589874:REY589903 ROU589874:ROU589903 RYQ589874:RYQ589903 SIM589874:SIM589903 SSI589874:SSI589903 TCE589874:TCE589903 TMA589874:TMA589903 TVW589874:TVW589903 UFS589874:UFS589903 UPO589874:UPO589903 UZK589874:UZK589903 VJG589874:VJG589903 VTC589874:VTC589903 WCY589874:WCY589903 WMU589874:WMU589903 AI655410:AI655439 KE655410:KE655439 UA655410:UA655439 ADW655410:ADW655439 ANS655410:ANS655439 AXO655410:AXO655439 BHK655410:BHK655439 BRG655410:BRG655439 CBC655410:CBC655439 CKY655410:CKY655439 CUU655410:CUU655439 DEQ655410:DEQ655439 DOM655410:DOM655439 DYI655410:DYI655439 EIE655410:EIE655439 ESA655410:ESA655439 FBW655410:FBW655439 FLS655410:FLS655439 FVO655410:FVO655439 GFK655410:GFK655439 GPG655410:GPG655439 GZC655410:GZC655439 HIY655410:HIY655439 HSU655410:HSU655439 ICQ655410:ICQ655439 IMM655410:IMM655439 IWI655410:IWI655439 JGE655410:JGE655439 JQA655410:JQA655439 JZW655410:JZW655439 KJS655410:KJS655439 KTO655410:KTO655439 LDK655410:LDK655439 LNG655410:LNG655439 LXC655410:LXC655439 MGY655410:MGY655439 MQU655410:MQU655439 NAQ655410:NAQ655439 NKM655410:NKM655439 NUI655410:NUI655439 OEE655410:OEE655439 OOA655410:OOA655439 OXW655410:OXW655439 PHS655410:PHS655439 PRO655410:PRO655439 QBK655410:QBK655439 QLG655410:QLG655439 QVC655410:QVC655439 REY655410:REY655439 ROU655410:ROU655439 RYQ655410:RYQ655439 SIM655410:SIM655439 SSI655410:SSI655439 TCE655410:TCE655439 TMA655410:TMA655439 TVW655410:TVW655439 UFS655410:UFS655439 UPO655410:UPO655439 UZK655410:UZK655439 VJG655410:VJG655439 VTC655410:VTC655439 WCY655410:WCY655439 WMU655410:WMU655439 AI720946:AI720975 KE720946:KE720975 UA720946:UA720975 ADW720946:ADW720975 ANS720946:ANS720975 AXO720946:AXO720975 BHK720946:BHK720975 BRG720946:BRG720975 CBC720946:CBC720975 CKY720946:CKY720975 CUU720946:CUU720975 DEQ720946:DEQ720975 DOM720946:DOM720975 DYI720946:DYI720975 EIE720946:EIE720975 ESA720946:ESA720975 FBW720946:FBW720975 FLS720946:FLS720975 FVO720946:FVO720975 GFK720946:GFK720975 GPG720946:GPG720975 GZC720946:GZC720975 HIY720946:HIY720975 HSU720946:HSU720975 ICQ720946:ICQ720975 IMM720946:IMM720975 IWI720946:IWI720975 JGE720946:JGE720975 JQA720946:JQA720975 JZW720946:JZW720975 KJS720946:KJS720975 KTO720946:KTO720975 LDK720946:LDK720975 LNG720946:LNG720975 LXC720946:LXC720975 MGY720946:MGY720975 MQU720946:MQU720975 NAQ720946:NAQ720975 NKM720946:NKM720975 NUI720946:NUI720975 OEE720946:OEE720975 OOA720946:OOA720975 OXW720946:OXW720975 PHS720946:PHS720975 PRO720946:PRO720975 QBK720946:QBK720975 QLG720946:QLG720975 QVC720946:QVC720975 REY720946:REY720975 ROU720946:ROU720975 RYQ720946:RYQ720975 SIM720946:SIM720975 SSI720946:SSI720975 TCE720946:TCE720975 TMA720946:TMA720975 TVW720946:TVW720975 UFS720946:UFS720975 UPO720946:UPO720975 UZK720946:UZK720975 VJG720946:VJG720975 VTC720946:VTC720975 WCY720946:WCY720975 WMU720946:WMU720975 AI786482:AI786511 KE786482:KE786511 UA786482:UA786511 ADW786482:ADW786511 ANS786482:ANS786511 AXO786482:AXO786511 BHK786482:BHK786511 BRG786482:BRG786511 CBC786482:CBC786511 CKY786482:CKY786511 CUU786482:CUU786511 DEQ786482:DEQ786511 DOM786482:DOM786511 DYI786482:DYI786511 EIE786482:EIE786511 ESA786482:ESA786511 FBW786482:FBW786511 FLS786482:FLS786511 FVO786482:FVO786511 GFK786482:GFK786511 GPG786482:GPG786511 GZC786482:GZC786511 HIY786482:HIY786511 HSU786482:HSU786511 ICQ786482:ICQ786511 IMM786482:IMM786511 IWI786482:IWI786511 JGE786482:JGE786511 JQA786482:JQA786511 JZW786482:JZW786511 KJS786482:KJS786511 KTO786482:KTO786511 LDK786482:LDK786511 LNG786482:LNG786511 LXC786482:LXC786511 MGY786482:MGY786511 MQU786482:MQU786511 NAQ786482:NAQ786511 NKM786482:NKM786511 NUI786482:NUI786511 OEE786482:OEE786511 OOA786482:OOA786511 OXW786482:OXW786511 PHS786482:PHS786511 PRO786482:PRO786511 QBK786482:QBK786511 QLG786482:QLG786511 QVC786482:QVC786511 REY786482:REY786511 ROU786482:ROU786511 RYQ786482:RYQ786511 SIM786482:SIM786511 SSI786482:SSI786511 TCE786482:TCE786511 TMA786482:TMA786511 TVW786482:TVW786511 UFS786482:UFS786511 UPO786482:UPO786511 UZK786482:UZK786511 VJG786482:VJG786511 VTC786482:VTC786511 WCY786482:WCY786511 WMU786482:WMU786511 AI852018:AI852047 KE852018:KE852047 UA852018:UA852047 ADW852018:ADW852047 ANS852018:ANS852047 AXO852018:AXO852047 BHK852018:BHK852047 BRG852018:BRG852047 CBC852018:CBC852047 CKY852018:CKY852047 CUU852018:CUU852047 DEQ852018:DEQ852047 DOM852018:DOM852047 DYI852018:DYI852047 EIE852018:EIE852047 ESA852018:ESA852047 FBW852018:FBW852047 FLS852018:FLS852047 FVO852018:FVO852047 GFK852018:GFK852047 GPG852018:GPG852047 GZC852018:GZC852047 HIY852018:HIY852047 HSU852018:HSU852047 ICQ852018:ICQ852047 IMM852018:IMM852047 IWI852018:IWI852047 JGE852018:JGE852047 JQA852018:JQA852047 JZW852018:JZW852047 KJS852018:KJS852047 KTO852018:KTO852047 LDK852018:LDK852047 LNG852018:LNG852047 LXC852018:LXC852047 MGY852018:MGY852047 MQU852018:MQU852047 NAQ852018:NAQ852047 NKM852018:NKM852047 NUI852018:NUI852047 OEE852018:OEE852047 OOA852018:OOA852047 OXW852018:OXW852047 PHS852018:PHS852047 PRO852018:PRO852047 QBK852018:QBK852047 QLG852018:QLG852047 QVC852018:QVC852047 REY852018:REY852047 ROU852018:ROU852047 RYQ852018:RYQ852047 SIM852018:SIM852047 SSI852018:SSI852047 TCE852018:TCE852047 TMA852018:TMA852047 TVW852018:TVW852047 UFS852018:UFS852047 UPO852018:UPO852047 UZK852018:UZK852047 VJG852018:VJG852047 VTC852018:VTC852047 WCY852018:WCY852047 WMU852018:WMU852047 AI917554:AI917583 KE917554:KE917583 UA917554:UA917583 ADW917554:ADW917583 ANS917554:ANS917583 AXO917554:AXO917583 BHK917554:BHK917583 BRG917554:BRG917583 CBC917554:CBC917583 CKY917554:CKY917583 CUU917554:CUU917583 DEQ917554:DEQ917583 DOM917554:DOM917583 DYI917554:DYI917583 EIE917554:EIE917583 ESA917554:ESA917583 FBW917554:FBW917583 FLS917554:FLS917583 FVO917554:FVO917583 GFK917554:GFK917583 GPG917554:GPG917583 GZC917554:GZC917583 HIY917554:HIY917583 HSU917554:HSU917583 ICQ917554:ICQ917583 IMM917554:IMM917583 IWI917554:IWI917583 JGE917554:JGE917583 JQA917554:JQA917583 JZW917554:JZW917583 KJS917554:KJS917583 KTO917554:KTO917583 LDK917554:LDK917583 LNG917554:LNG917583 LXC917554:LXC917583 MGY917554:MGY917583 MQU917554:MQU917583 NAQ917554:NAQ917583 NKM917554:NKM917583 NUI917554:NUI917583 OEE917554:OEE917583 OOA917554:OOA917583 OXW917554:OXW917583 PHS917554:PHS917583 PRO917554:PRO917583 QBK917554:QBK917583 QLG917554:QLG917583 QVC917554:QVC917583 REY917554:REY917583 ROU917554:ROU917583 RYQ917554:RYQ917583 SIM917554:SIM917583 SSI917554:SSI917583 TCE917554:TCE917583 TMA917554:TMA917583 TVW917554:TVW917583 UFS917554:UFS917583 UPO917554:UPO917583 UZK917554:UZK917583 VJG917554:VJG917583 VTC917554:VTC917583 WCY917554:WCY917583 WMU917554:WMU917583 AI983090:AI983119 KE983090:KE983119 UA983090:UA983119 ADW983090:ADW983119 ANS983090:ANS983119 AXO983090:AXO983119 BHK983090:BHK983119 BRG983090:BRG983119 CBC983090:CBC983119 CKY983090:CKY983119 CUU983090:CUU983119 DEQ983090:DEQ983119 DOM983090:DOM983119 DYI983090:DYI983119 EIE983090:EIE983119 ESA983090:ESA983119 FBW983090:FBW983119 FLS983090:FLS983119 FVO983090:FVO983119 GFK983090:GFK983119 GPG983090:GPG983119 GZC983090:GZC983119 HIY983090:HIY983119 HSU983090:HSU983119 ICQ983090:ICQ983119 IMM983090:IMM983119 IWI983090:IWI983119 JGE983090:JGE983119 JQA983090:JQA983119 JZW983090:JZW983119 KJS983090:KJS983119 KTO983090:KTO983119 LDK983090:LDK983119 LNG983090:LNG983119 LXC983090:LXC983119 MGY983090:MGY983119 MQU983090:MQU983119 NAQ983090:NAQ983119 NKM983090:NKM983119 NUI983090:NUI983119 OEE983090:OEE983119 OOA983090:OOA983119 OXW983090:OXW983119 PHS983090:PHS983119 PRO983090:PRO983119 QBK983090:QBK983119 QLG983090:QLG983119 QVC983090:QVC983119 REY983090:REY983119 ROU983090:ROU983119 RYQ983090:RYQ983119 SIM983090:SIM983119 SSI983090:SSI983119 TCE983090:TCE983119 TMA983090:TMA983119 TVW983090:TVW983119 UFS983090:UFS983119 UPO983090:UPO983119 UZK983090:UZK983119 VJG983090:VJG983119 VTC983090:VTC983119 WCY983090:WCY983119 WMQ6:WMQ83 AE6:AE83 KA6:KA83 TW6:TW83 ADS6:ADS83 ANO6:ANO83 AXK6:AXK83 BHG6:BHG83 BRC6:BRC83 CAY6:CAY83 CKU6:CKU83 CUQ6:CUQ83 DEM6:DEM83 DOI6:DOI83 DYE6:DYE83 EIA6:EIA83 ERW6:ERW83 FBS6:FBS83 FLO6:FLO83 FVK6:FVK83 GFG6:GFG83 GPC6:GPC83 GYY6:GYY83 HIU6:HIU83 HSQ6:HSQ83 ICM6:ICM83 IMI6:IMI83 IWE6:IWE83 JGA6:JGA83 JPW6:JPW83 JZS6:JZS83 KJO6:KJO83 KTK6:KTK83 LDG6:LDG83 LNC6:LNC83 LWY6:LWY83 MGU6:MGU83 MQQ6:MQQ83 NAM6:NAM83 NKI6:NKI83 NUE6:NUE83 OEA6:OEA83 ONW6:ONW83 OXS6:OXS83 PHO6:PHO83 PRK6:PRK83 QBG6:QBG83 QLC6:QLC83 QUY6:QUY83 REU6:REU83 ROQ6:ROQ83 RYM6:RYM83 SII6:SII83 SSE6:SSE83 TCA6:TCA83 TLW6:TLW83 TVS6:TVS83 UFO6:UFO83 UPK6:UPK83 UZG6:UZG83 VJC6:VJC83 VSY6:VSY83 WCU6:WCU83" xr:uid="{838E78F2-783C-433A-B3B0-B785667219EB}">
      <formula1>"จันทราภรณ์, รัฏฏิการ์, คชเขม, มาร์ค,สมเด็"</formula1>
    </dataValidation>
  </dataValidations>
  <printOptions horizontalCentered="1"/>
  <pageMargins left="0.23622047244094491" right="0.11811023622047245" top="0.39370078740157483" bottom="0.23622047244094491" header="0.39370078740157483" footer="0.31496062992125984"/>
  <pageSetup paperSize="9" scale="35" fitToHeight="2" orientation="landscape" r:id="rId1"/>
  <headerFooter alignWithMargins="0"/>
  <ignoredErrors>
    <ignoredError sqref="I84 L82:M83 L36:M38 L81:N81 L39:L44 Q81 Q39:Q44 L45:L47 L27:L29 L24:L26 L30 N39:N44 N45:N47 L21:L23 U84 F84 J84:N84 M21:N23 M30:N30 M24:N26 M27:N29 Q27:Q29 M31:Q31 O29:P29 Q25:Q26 O30:Q30 Q21:Q23 Q24"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2C2E0C5-3CB3-4E5C-9E2F-FCA3509FDCD7}">
          <x14:formula1>
            <xm:f>Ref!$B$2:$B$20</xm:f>
          </x14:formula1>
          <xm:sqref>D81 D63 D36 D24 D21 D30 D27 D33 D18 D6 D39 D42 D45 D48 D51 D54 D78 D66 D75 D69 D60 D9 D12 D15</xm:sqref>
        </x14:dataValidation>
        <x14:dataValidation type="list" allowBlank="1" showInputMessage="1" showErrorMessage="1" xr:uid="{6894635A-EA7B-4FE7-A357-6720A2125EAD}">
          <x14:formula1>
            <xm:f>Ref!$C$2:$C$20</xm:f>
          </x14:formula1>
          <xm:sqref>E27 E63 E42 E21 E24 E30 E39 E33 E36 E81 E18 E6 E45 E48 E51 E54 E78 E66 E75 E69 E60 E9 E12 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36E2-5906-4F5B-9831-185895FA3729}">
  <sheetPr codeName="Sheet4">
    <tabColor rgb="FF92D050"/>
    <pageSetUpPr fitToPage="1"/>
  </sheetPr>
  <dimension ref="A1:WVZ164"/>
  <sheetViews>
    <sheetView zoomScale="80" zoomScaleNormal="80" workbookViewId="0">
      <selection activeCell="D14" sqref="D14"/>
    </sheetView>
  </sheetViews>
  <sheetFormatPr defaultColWidth="0" defaultRowHeight="0" customHeight="1" zeroHeight="1"/>
  <cols>
    <col min="1" max="1" width="6.88671875" style="71" customWidth="1"/>
    <col min="2" max="2" width="20.77734375" style="71" customWidth="1"/>
    <col min="3" max="3" width="27.44140625" style="71" bestFit="1" customWidth="1"/>
    <col min="4" max="4" width="29" style="71" customWidth="1"/>
    <col min="5" max="5" width="15.88671875" style="80" bestFit="1" customWidth="1"/>
    <col min="6" max="6" width="15.88671875" style="80" customWidth="1"/>
    <col min="7" max="7" width="16.5546875" style="80" bestFit="1" customWidth="1"/>
    <col min="8" max="8" width="15.88671875" style="80" customWidth="1"/>
    <col min="9" max="9" width="15.33203125" style="80" customWidth="1"/>
    <col min="10" max="10" width="14.6640625" style="71" customWidth="1"/>
    <col min="11" max="11" width="20.77734375" style="71" customWidth="1"/>
    <col min="12" max="12" width="11.77734375" style="71" customWidth="1"/>
    <col min="13" max="13" width="14.886718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6" width="0" style="71" hidden="1"/>
    <col min="16147" max="16384" width="9.109375" style="71" hidden="1"/>
  </cols>
  <sheetData>
    <row r="1" spans="1:246" s="238" customFormat="1" ht="22.8" customHeight="1">
      <c r="A1" s="234" t="s">
        <v>74</v>
      </c>
      <c r="B1" s="235"/>
      <c r="C1" s="235"/>
      <c r="D1" s="234"/>
      <c r="E1" s="236"/>
      <c r="F1" s="236"/>
      <c r="G1" s="236"/>
      <c r="H1" s="236"/>
      <c r="I1" s="237"/>
    </row>
    <row r="2" spans="1:246" s="238" customFormat="1" ht="22.8" customHeight="1">
      <c r="A2" s="234" t="s">
        <v>122</v>
      </c>
      <c r="B2" s="235"/>
      <c r="C2" s="235"/>
      <c r="D2" s="234"/>
      <c r="E2" s="236"/>
      <c r="F2" s="236"/>
      <c r="G2" s="236"/>
      <c r="H2" s="236"/>
      <c r="I2" s="237"/>
    </row>
    <row r="3" spans="1:246" s="238" customFormat="1" ht="22.8" customHeight="1">
      <c r="A3" s="238" t="s">
        <v>77</v>
      </c>
      <c r="B3" s="239"/>
      <c r="C3" s="240"/>
      <c r="D3" s="240"/>
      <c r="E3" s="241"/>
      <c r="F3" s="241"/>
      <c r="G3" s="242">
        <v>0.04</v>
      </c>
      <c r="H3" s="243"/>
    </row>
    <row r="4" spans="1:246" s="58" customFormat="1" ht="30" customHeight="1">
      <c r="A4" s="59" t="s">
        <v>0</v>
      </c>
      <c r="B4" s="100" t="s">
        <v>2</v>
      </c>
      <c r="C4" s="100" t="s">
        <v>6</v>
      </c>
      <c r="D4" s="100" t="s">
        <v>9</v>
      </c>
      <c r="E4" s="101" t="s">
        <v>26</v>
      </c>
      <c r="F4" s="102" t="s">
        <v>3</v>
      </c>
      <c r="G4" s="101" t="s">
        <v>29</v>
      </c>
      <c r="H4" s="103" t="s">
        <v>4</v>
      </c>
    </row>
    <row r="5" spans="1:246" s="304" customFormat="1" ht="19.95" customHeight="1">
      <c r="A5" s="94">
        <v>1</v>
      </c>
      <c r="B5" s="298" t="s">
        <v>107</v>
      </c>
      <c r="C5" s="104" t="s">
        <v>82</v>
      </c>
      <c r="D5" s="299" t="s">
        <v>75</v>
      </c>
      <c r="E5" s="105">
        <f>COUNTIFS(Table1351452010[[#All],[Sales]],"คุณนิมิต จุ้ยอยู่ทอง",Table1351452010[[#All],[รายการเบิก
คอมขาย]],"&gt;0")</f>
        <v>0</v>
      </c>
      <c r="F5" s="300">
        <f>SUMIF(Table1351452010[[#All],[Sales]],"คุณนิมิต จุ้ยอยู่ทอง",Table1351452010[[#All],[รายการเบิก
คอมขาย]])</f>
        <v>0</v>
      </c>
      <c r="G5" s="301">
        <f>F5*G3</f>
        <v>0</v>
      </c>
      <c r="H5" s="302">
        <f>F5-G5</f>
        <v>0</v>
      </c>
      <c r="I5" s="303"/>
      <c r="J5" s="324"/>
      <c r="L5" s="305"/>
    </row>
    <row r="6" spans="1:246" s="304" customFormat="1" ht="19.95" customHeight="1">
      <c r="A6" s="94"/>
      <c r="B6" s="306"/>
      <c r="C6" s="104" t="s">
        <v>83</v>
      </c>
      <c r="D6" s="307"/>
      <c r="E6" s="105">
        <f>COUNTIFS(Table1351452010[[#All],[Sales]],"คุณธวัช มีแสง",Table1351452010[[#All],[รายการเบิก
คอมขาย]],"&gt;0")</f>
        <v>0</v>
      </c>
      <c r="F6" s="308">
        <f>SUMIF(Table1351452010[[#All],[Sales]],"คุณธวัช มีแสง",Table1351452010[[#All],[รายการเบิก
คอมขาย]])</f>
        <v>0</v>
      </c>
      <c r="G6" s="301">
        <f t="shared" ref="G6:G9" si="0">F6*$G$3</f>
        <v>0</v>
      </c>
      <c r="H6" s="308">
        <f t="shared" ref="H6:H7" si="1">F6-G6</f>
        <v>0</v>
      </c>
      <c r="I6" s="303"/>
      <c r="J6" s="309"/>
    </row>
    <row r="7" spans="1:246" s="304" customFormat="1" ht="19.95" customHeight="1">
      <c r="A7" s="94"/>
      <c r="B7" s="306"/>
      <c r="C7" s="104" t="s">
        <v>84</v>
      </c>
      <c r="D7" s="307"/>
      <c r="E7" s="105">
        <f>COUNTIFS(Table1351452010[[#All],[Sales]],"คุณแดง มูลสองแคว",Table1351452010[[#All],[รายการเบิก
คอมขาย]],"&gt;0")</f>
        <v>0</v>
      </c>
      <c r="F7" s="300">
        <f>SUMIF(Table1351452010[[#All],[Sales]],"คุณแดง มูลสองแคว",Table1351452010[[#All],[รายการเบิก
คอมขาย]])</f>
        <v>0</v>
      </c>
      <c r="G7" s="301">
        <f t="shared" si="0"/>
        <v>0</v>
      </c>
      <c r="H7" s="302">
        <f t="shared" si="1"/>
        <v>0</v>
      </c>
      <c r="I7" s="310"/>
      <c r="J7" s="309"/>
    </row>
    <row r="8" spans="1:246" s="304" customFormat="1" ht="19.95" customHeight="1">
      <c r="A8" s="94"/>
      <c r="B8" s="306"/>
      <c r="C8" s="183" t="s">
        <v>85</v>
      </c>
      <c r="D8" s="307"/>
      <c r="E8" s="105">
        <f>COUNTIFS(Table1351452010[[#All],[Sales]],"คุณนิยนต์ อยู่ทะเล",Table1351452010[[#All],[รายการเบิก
คอมขาย]],"&gt;0")</f>
        <v>0</v>
      </c>
      <c r="F8" s="300">
        <f>SUMIF(Table1351452010[[#All],[Sales]],"คุณนิยนต์ อยู่ทะเล",Table1351452010[[#All],[รายการเบิก
คอมขาย]])</f>
        <v>0</v>
      </c>
      <c r="G8" s="301">
        <f t="shared" si="0"/>
        <v>0</v>
      </c>
      <c r="H8" s="302">
        <f t="shared" ref="H8" si="2">F8-G8</f>
        <v>0</v>
      </c>
      <c r="I8" s="310"/>
      <c r="J8" s="309"/>
    </row>
    <row r="9" spans="1:246" s="304" customFormat="1" ht="19.95" customHeight="1">
      <c r="A9" s="94"/>
      <c r="B9" s="306"/>
      <c r="C9" s="187" t="s">
        <v>78</v>
      </c>
      <c r="D9" s="307"/>
      <c r="E9" s="105">
        <f>COUNTIFS(Table1351452010[[#All],[Sales]],"คุณรุ่งอรุณ อินบุญรอด",Table1351452010[[#All],[รายการเบิก
คอมขาย]],"&gt;0")</f>
        <v>0</v>
      </c>
      <c r="F9" s="300">
        <f>SUMIF(Table1351452010[[#All],[Sales]],"คุณรุ่งอรุณ อินบุญรอด",Table1351452010[[#All],[รายการเบิก
คอมขาย]])</f>
        <v>0</v>
      </c>
      <c r="G9" s="301">
        <f t="shared" si="0"/>
        <v>0</v>
      </c>
      <c r="H9" s="302">
        <f t="shared" ref="H9" si="3">F9-G9</f>
        <v>0</v>
      </c>
      <c r="I9" s="310"/>
      <c r="J9" s="309"/>
    </row>
    <row r="10" spans="1:246" s="304" customFormat="1" ht="19.95" customHeight="1">
      <c r="A10" s="94"/>
      <c r="B10" s="311"/>
      <c r="C10" s="104" t="s">
        <v>79</v>
      </c>
      <c r="D10" s="307"/>
      <c r="E10" s="105">
        <f>COUNTIFS(Table1351452010[[#All],[Sales]],"คุณศศินาถ จุ้ยอยู่ทอง",Table1351452010[[#All],[รายการเบิก
คอมขาย]],"&gt;0")</f>
        <v>0</v>
      </c>
      <c r="F10" s="300">
        <f>SUMIF(Table1351452010[[#All],[Sales]],"คุณศศินาถ จุ้ยอยู่ทอง",Table1351452010[[#All],[รายการเบิก
คอมขาย]])</f>
        <v>0</v>
      </c>
      <c r="G10" s="301">
        <f t="shared" ref="G10" si="4">F10*$G$3</f>
        <v>0</v>
      </c>
      <c r="H10" s="302">
        <f t="shared" ref="H10" si="5">F10-G10</f>
        <v>0</v>
      </c>
      <c r="I10" s="310"/>
      <c r="J10" s="309"/>
    </row>
    <row r="11" spans="1:246" s="304" customFormat="1" ht="19.95" customHeight="1">
      <c r="A11" s="94"/>
      <c r="B11" s="311"/>
      <c r="C11" s="104" t="s">
        <v>103</v>
      </c>
      <c r="D11" s="307"/>
      <c r="E11" s="105">
        <f>COUNTIFS(Table1351452010[[#All],[Sales]],"คุณณรงศ์ศักย์ เหล่ารัตนเวช",Table1351452010[[#All],[รายการเบิก
คอมขาย]],"&gt;0")</f>
        <v>0</v>
      </c>
      <c r="F11" s="300">
        <f>SUMIF(Table1351452010[[#All],[Sales]],"คุณณรงศ์ศักย์ เหล่ารัตนเวช",Table1351452010[[#All],[รายการเบิก
คอมขาย]])</f>
        <v>0</v>
      </c>
      <c r="G11" s="301">
        <f t="shared" ref="G11:G12" si="6">F11*$G$3</f>
        <v>0</v>
      </c>
      <c r="H11" s="302">
        <f t="shared" ref="H11:H12" si="7">F11-G11</f>
        <v>0</v>
      </c>
      <c r="I11" s="310"/>
      <c r="J11" s="309"/>
    </row>
    <row r="12" spans="1:246" s="304" customFormat="1" ht="19.95" customHeight="1">
      <c r="A12" s="94"/>
      <c r="B12" s="312"/>
      <c r="C12" s="104" t="s">
        <v>81</v>
      </c>
      <c r="D12" s="313"/>
      <c r="E12" s="105">
        <f>COUNTIFS(Table1351452010[[#All],[Sales]],"คุณธัญลักษณ์ หมื่นหลุบกุง",Table1351452010[[#All],[รายการเบิก
คอมขาย]],"&gt;0")</f>
        <v>0</v>
      </c>
      <c r="F12" s="300">
        <f>SUMIF(Table1351452010[[#All],[Sales]],"คุณธัญลักษณ์ หมื่นหลุบกุง",Table1351452010[[#All],[รายการเบิก
คอมขาย]])</f>
        <v>0</v>
      </c>
      <c r="G12" s="301">
        <f t="shared" si="6"/>
        <v>0</v>
      </c>
      <c r="H12" s="302">
        <f t="shared" si="7"/>
        <v>0</v>
      </c>
      <c r="I12" s="310"/>
      <c r="J12" s="309"/>
    </row>
    <row r="13" spans="1:246" s="317" customFormat="1" ht="19.95" customHeight="1">
      <c r="A13" s="95">
        <v>2</v>
      </c>
      <c r="B13" s="314" t="s">
        <v>20</v>
      </c>
      <c r="C13" s="104" t="s">
        <v>82</v>
      </c>
      <c r="D13" s="419" t="s">
        <v>28</v>
      </c>
      <c r="E13" s="107">
        <f>COUNTIFS(Table1351452010[[#All],[Sales]],"คุณนิมิต จุ้ยอยู่ทอง",Table1351452010[[#All],[ค่าขายอุปกรณ์]],"&gt;1")</f>
        <v>0</v>
      </c>
      <c r="F13" s="315">
        <f>SUMIF(Table1351452010[[#All],[Sales]],"คุณนิมิต จุ้ยอยู่ทอง",Table1351452010[[#All],[Total
คอมฯ อุปกรณ์]])</f>
        <v>0</v>
      </c>
      <c r="G13" s="301">
        <v>0</v>
      </c>
      <c r="H13" s="302">
        <f t="shared" ref="H13:H22" si="8">F13-G13</f>
        <v>0</v>
      </c>
      <c r="I13" s="310"/>
      <c r="J13" s="309"/>
      <c r="K13" s="304"/>
      <c r="L13" s="316"/>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c r="DT13" s="304"/>
      <c r="DU13" s="304"/>
      <c r="DV13" s="304"/>
      <c r="DW13" s="304"/>
      <c r="DX13" s="304"/>
      <c r="DY13" s="304"/>
      <c r="DZ13" s="304"/>
      <c r="EA13" s="304"/>
      <c r="EB13" s="304"/>
      <c r="EC13" s="304"/>
      <c r="ED13" s="304"/>
      <c r="EE13" s="304"/>
      <c r="EF13" s="304"/>
      <c r="EG13" s="304"/>
      <c r="EH13" s="304"/>
      <c r="EI13" s="304"/>
      <c r="EJ13" s="304"/>
      <c r="EK13" s="304"/>
      <c r="EL13" s="304"/>
      <c r="EM13" s="304"/>
      <c r="EN13" s="304"/>
      <c r="EO13" s="304"/>
      <c r="EP13" s="304"/>
      <c r="EQ13" s="304"/>
      <c r="ER13" s="304"/>
      <c r="ES13" s="304"/>
      <c r="ET13" s="304"/>
      <c r="EU13" s="304"/>
      <c r="EV13" s="304"/>
      <c r="EW13" s="304"/>
      <c r="EX13" s="304"/>
      <c r="EY13" s="304"/>
      <c r="EZ13" s="304"/>
      <c r="FA13" s="304"/>
      <c r="FB13" s="304"/>
      <c r="FC13" s="304"/>
      <c r="FD13" s="304"/>
      <c r="FE13" s="304"/>
      <c r="FF13" s="304"/>
      <c r="FG13" s="304"/>
      <c r="FH13" s="304"/>
      <c r="FI13" s="304"/>
      <c r="FJ13" s="304"/>
      <c r="FK13" s="304"/>
      <c r="FL13" s="304"/>
      <c r="FM13" s="304"/>
      <c r="FN13" s="304"/>
      <c r="FO13" s="304"/>
      <c r="FP13" s="304"/>
      <c r="FQ13" s="304"/>
      <c r="FR13" s="304"/>
      <c r="FS13" s="304"/>
      <c r="FT13" s="304"/>
      <c r="FU13" s="304"/>
      <c r="FV13" s="304"/>
      <c r="FW13" s="304"/>
      <c r="FX13" s="304"/>
      <c r="FY13" s="304"/>
      <c r="FZ13" s="304"/>
      <c r="GA13" s="304"/>
      <c r="GB13" s="304"/>
      <c r="GC13" s="304"/>
      <c r="GD13" s="304"/>
      <c r="GE13" s="304"/>
      <c r="GF13" s="304"/>
      <c r="GG13" s="304"/>
      <c r="GH13" s="304"/>
      <c r="GI13" s="304"/>
      <c r="GJ13" s="304"/>
      <c r="GK13" s="304"/>
      <c r="GL13" s="304"/>
      <c r="GM13" s="304"/>
      <c r="GN13" s="304"/>
      <c r="GO13" s="304"/>
      <c r="GP13" s="304"/>
      <c r="GQ13" s="304"/>
      <c r="GR13" s="304"/>
      <c r="GS13" s="304"/>
      <c r="GT13" s="304"/>
      <c r="GU13" s="304"/>
      <c r="GV13" s="304"/>
      <c r="GW13" s="304"/>
      <c r="GX13" s="304"/>
      <c r="GY13" s="304"/>
      <c r="GZ13" s="304"/>
      <c r="HA13" s="304"/>
      <c r="HB13" s="304"/>
      <c r="HC13" s="304"/>
      <c r="HD13" s="304"/>
      <c r="HE13" s="304"/>
      <c r="HF13" s="304"/>
      <c r="HG13" s="304"/>
      <c r="HH13" s="304"/>
      <c r="HI13" s="304"/>
      <c r="HJ13" s="304"/>
      <c r="HK13" s="304"/>
      <c r="HL13" s="304"/>
      <c r="HM13" s="304"/>
      <c r="HN13" s="304"/>
      <c r="HO13" s="304"/>
      <c r="HP13" s="304"/>
      <c r="HQ13" s="304"/>
      <c r="HR13" s="304"/>
      <c r="HS13" s="304"/>
      <c r="HT13" s="304"/>
      <c r="HU13" s="304"/>
      <c r="HV13" s="304"/>
      <c r="HW13" s="304"/>
      <c r="HX13" s="304"/>
      <c r="HY13" s="304"/>
      <c r="HZ13" s="304"/>
      <c r="IA13" s="304"/>
      <c r="IB13" s="304"/>
      <c r="IC13" s="304"/>
      <c r="ID13" s="304"/>
      <c r="IE13" s="304"/>
      <c r="IF13" s="304"/>
      <c r="IG13" s="304"/>
      <c r="IH13" s="304"/>
      <c r="II13" s="304"/>
      <c r="IJ13" s="304"/>
      <c r="IK13" s="304"/>
      <c r="IL13" s="304"/>
    </row>
    <row r="14" spans="1:246" s="320" customFormat="1" ht="19.95" customHeight="1">
      <c r="A14" s="96"/>
      <c r="B14" s="318"/>
      <c r="C14" s="104" t="s">
        <v>83</v>
      </c>
      <c r="D14" s="319"/>
      <c r="E14" s="107">
        <f>COUNTIFS(Table1351452010[[#All],[Sales]],"คุณธวัช มีแสง",Table1351452010[[#All],[ค่าขายอุปกรณ์]],"&gt;1")</f>
        <v>0</v>
      </c>
      <c r="F14" s="315">
        <f>SUMIF(Table1351452010[[#All],[Sales]],"คุณธวัช มีแสง",Table1351452010[[#All],[Total
คอมฯ อุปกรณ์]])</f>
        <v>0</v>
      </c>
      <c r="G14" s="301">
        <v>0</v>
      </c>
      <c r="H14" s="302">
        <f t="shared" ref="H14:H18" si="9">F14-G14</f>
        <v>0</v>
      </c>
      <c r="I14" s="310"/>
      <c r="J14" s="309"/>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c r="BZ14" s="304"/>
      <c r="CA14" s="304"/>
      <c r="CB14" s="304"/>
      <c r="CC14" s="304"/>
      <c r="CD14" s="304"/>
      <c r="CE14" s="304"/>
      <c r="CF14" s="304"/>
      <c r="CG14" s="304"/>
      <c r="CH14" s="304"/>
      <c r="CI14" s="304"/>
      <c r="CJ14" s="304"/>
      <c r="CK14" s="304"/>
      <c r="CL14" s="304"/>
      <c r="CM14" s="304"/>
      <c r="CN14" s="304"/>
      <c r="CO14" s="304"/>
      <c r="CP14" s="304"/>
      <c r="CQ14" s="304"/>
      <c r="CR14" s="304"/>
      <c r="CS14" s="304"/>
      <c r="CT14" s="304"/>
      <c r="CU14" s="304"/>
      <c r="CV14" s="304"/>
      <c r="CW14" s="304"/>
      <c r="CX14" s="304"/>
      <c r="CY14" s="304"/>
      <c r="CZ14" s="304"/>
      <c r="DA14" s="304"/>
      <c r="DB14" s="304"/>
      <c r="DC14" s="304"/>
      <c r="DD14" s="304"/>
      <c r="DE14" s="304"/>
      <c r="DF14" s="304"/>
      <c r="DG14" s="304"/>
      <c r="DH14" s="304"/>
      <c r="DI14" s="304"/>
      <c r="DJ14" s="304"/>
      <c r="DK14" s="304"/>
      <c r="DL14" s="304"/>
      <c r="DM14" s="304"/>
      <c r="DN14" s="304"/>
      <c r="DO14" s="304"/>
      <c r="DP14" s="304"/>
      <c r="DQ14" s="304"/>
      <c r="DR14" s="304"/>
      <c r="DS14" s="304"/>
      <c r="DT14" s="304"/>
      <c r="DU14" s="304"/>
      <c r="DV14" s="304"/>
      <c r="DW14" s="304"/>
      <c r="DX14" s="304"/>
      <c r="DY14" s="304"/>
      <c r="DZ14" s="304"/>
      <c r="EA14" s="304"/>
      <c r="EB14" s="304"/>
      <c r="EC14" s="304"/>
      <c r="ED14" s="304"/>
      <c r="EE14" s="304"/>
      <c r="EF14" s="304"/>
      <c r="EG14" s="304"/>
      <c r="EH14" s="304"/>
      <c r="EI14" s="304"/>
      <c r="EJ14" s="304"/>
      <c r="EK14" s="304"/>
      <c r="EL14" s="304"/>
      <c r="EM14" s="304"/>
      <c r="EN14" s="304"/>
      <c r="EO14" s="304"/>
      <c r="EP14" s="304"/>
      <c r="EQ14" s="304"/>
      <c r="ER14" s="304"/>
      <c r="ES14" s="304"/>
      <c r="ET14" s="304"/>
      <c r="EU14" s="304"/>
      <c r="EV14" s="304"/>
      <c r="EW14" s="304"/>
      <c r="EX14" s="304"/>
      <c r="EY14" s="304"/>
      <c r="EZ14" s="304"/>
      <c r="FA14" s="304"/>
      <c r="FB14" s="304"/>
      <c r="FC14" s="304"/>
      <c r="FD14" s="304"/>
      <c r="FE14" s="304"/>
      <c r="FF14" s="304"/>
      <c r="FG14" s="304"/>
      <c r="FH14" s="304"/>
      <c r="FI14" s="304"/>
      <c r="FJ14" s="304"/>
      <c r="FK14" s="304"/>
      <c r="FL14" s="304"/>
      <c r="FM14" s="304"/>
      <c r="FN14" s="304"/>
      <c r="FO14" s="304"/>
      <c r="FP14" s="304"/>
      <c r="FQ14" s="304"/>
      <c r="FR14" s="304"/>
      <c r="FS14" s="304"/>
      <c r="FT14" s="304"/>
      <c r="FU14" s="304"/>
      <c r="FV14" s="304"/>
      <c r="FW14" s="304"/>
      <c r="FX14" s="304"/>
      <c r="FY14" s="304"/>
      <c r="FZ14" s="304"/>
      <c r="GA14" s="304"/>
      <c r="GB14" s="304"/>
      <c r="GC14" s="304"/>
      <c r="GD14" s="304"/>
      <c r="GE14" s="304"/>
      <c r="GF14" s="304"/>
      <c r="GG14" s="304"/>
      <c r="GH14" s="304"/>
      <c r="GI14" s="304"/>
      <c r="GJ14" s="304"/>
      <c r="GK14" s="304"/>
      <c r="GL14" s="304"/>
      <c r="GM14" s="304"/>
      <c r="GN14" s="304"/>
      <c r="GO14" s="304"/>
      <c r="GP14" s="304"/>
      <c r="GQ14" s="304"/>
      <c r="GR14" s="304"/>
      <c r="GS14" s="304"/>
      <c r="GT14" s="304"/>
      <c r="GU14" s="304"/>
      <c r="GV14" s="304"/>
      <c r="GW14" s="304"/>
      <c r="GX14" s="304"/>
      <c r="GY14" s="304"/>
      <c r="GZ14" s="304"/>
      <c r="HA14" s="304"/>
      <c r="HB14" s="304"/>
      <c r="HC14" s="304"/>
      <c r="HD14" s="304"/>
      <c r="HE14" s="304"/>
      <c r="HF14" s="304"/>
      <c r="HG14" s="304"/>
      <c r="HH14" s="304"/>
      <c r="HI14" s="304"/>
      <c r="HJ14" s="304"/>
      <c r="HK14" s="304"/>
      <c r="HL14" s="304"/>
      <c r="HM14" s="304"/>
      <c r="HN14" s="304"/>
      <c r="HO14" s="304"/>
      <c r="HP14" s="304"/>
      <c r="HQ14" s="304"/>
      <c r="HR14" s="304"/>
      <c r="HS14" s="304"/>
      <c r="HT14" s="304"/>
      <c r="HU14" s="304"/>
      <c r="HV14" s="304"/>
      <c r="HW14" s="304"/>
      <c r="HX14" s="304"/>
      <c r="HY14" s="304"/>
      <c r="HZ14" s="304"/>
      <c r="IA14" s="304"/>
      <c r="IB14" s="304"/>
      <c r="IC14" s="304"/>
      <c r="ID14" s="304"/>
      <c r="IE14" s="304"/>
      <c r="IF14" s="304"/>
      <c r="IG14" s="304"/>
      <c r="IH14" s="304"/>
      <c r="II14" s="304"/>
      <c r="IJ14" s="304"/>
      <c r="IK14" s="304"/>
      <c r="IL14" s="304"/>
    </row>
    <row r="15" spans="1:246" s="320" customFormat="1" ht="19.95" customHeight="1">
      <c r="A15" s="96"/>
      <c r="B15" s="318"/>
      <c r="C15" s="104" t="s">
        <v>84</v>
      </c>
      <c r="D15" s="319"/>
      <c r="E15" s="107">
        <f>COUNTIFS(Table1351452010[[#All],[Sales]],"คุณแดง มูลสองแคว",Table1351452010[[#All],[ค่าขายอุปกรณ์]],"&gt;1")</f>
        <v>0</v>
      </c>
      <c r="F15" s="315">
        <f>SUMIF(Table1351452010[[#All],[Sales]],"คุณแดง มูลสองแคว",Table1351452010[[#All],[Total
คอมฯ อุปกรณ์]])</f>
        <v>0</v>
      </c>
      <c r="G15" s="301">
        <v>0</v>
      </c>
      <c r="H15" s="302">
        <f t="shared" si="9"/>
        <v>0</v>
      </c>
      <c r="I15" s="310"/>
      <c r="J15" s="309"/>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c r="CS15" s="304"/>
      <c r="CT15" s="304"/>
      <c r="CU15" s="304"/>
      <c r="CV15" s="304"/>
      <c r="CW15" s="304"/>
      <c r="CX15" s="304"/>
      <c r="CY15" s="304"/>
      <c r="CZ15" s="304"/>
      <c r="DA15" s="304"/>
      <c r="DB15" s="304"/>
      <c r="DC15" s="304"/>
      <c r="DD15" s="304"/>
      <c r="DE15" s="304"/>
      <c r="DF15" s="304"/>
      <c r="DG15" s="304"/>
      <c r="DH15" s="304"/>
      <c r="DI15" s="304"/>
      <c r="DJ15" s="304"/>
      <c r="DK15" s="304"/>
      <c r="DL15" s="304"/>
      <c r="DM15" s="304"/>
      <c r="DN15" s="304"/>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c r="ET15" s="304"/>
      <c r="EU15" s="304"/>
      <c r="EV15" s="304"/>
      <c r="EW15" s="304"/>
      <c r="EX15" s="304"/>
      <c r="EY15" s="304"/>
      <c r="EZ15" s="304"/>
      <c r="FA15" s="304"/>
      <c r="FB15" s="304"/>
      <c r="FC15" s="304"/>
      <c r="FD15" s="304"/>
      <c r="FE15" s="304"/>
      <c r="FF15" s="304"/>
      <c r="FG15" s="304"/>
      <c r="FH15" s="304"/>
      <c r="FI15" s="304"/>
      <c r="FJ15" s="304"/>
      <c r="FK15" s="304"/>
      <c r="FL15" s="304"/>
      <c r="FM15" s="304"/>
      <c r="FN15" s="304"/>
      <c r="FO15" s="304"/>
      <c r="FP15" s="304"/>
      <c r="FQ15" s="304"/>
      <c r="FR15" s="304"/>
      <c r="FS15" s="304"/>
      <c r="FT15" s="304"/>
      <c r="FU15" s="304"/>
      <c r="FV15" s="304"/>
      <c r="FW15" s="304"/>
      <c r="FX15" s="304"/>
      <c r="FY15" s="304"/>
      <c r="FZ15" s="304"/>
      <c r="GA15" s="304"/>
      <c r="GB15" s="304"/>
      <c r="GC15" s="304"/>
      <c r="GD15" s="304"/>
      <c r="GE15" s="304"/>
      <c r="GF15" s="304"/>
      <c r="GG15" s="304"/>
      <c r="GH15" s="304"/>
      <c r="GI15" s="304"/>
      <c r="GJ15" s="304"/>
      <c r="GK15" s="304"/>
      <c r="GL15" s="304"/>
      <c r="GM15" s="304"/>
      <c r="GN15" s="304"/>
      <c r="GO15" s="304"/>
      <c r="GP15" s="304"/>
      <c r="GQ15" s="304"/>
      <c r="GR15" s="304"/>
      <c r="GS15" s="304"/>
      <c r="GT15" s="304"/>
      <c r="GU15" s="304"/>
      <c r="GV15" s="304"/>
      <c r="GW15" s="304"/>
      <c r="GX15" s="304"/>
      <c r="GY15" s="304"/>
      <c r="GZ15" s="304"/>
      <c r="HA15" s="304"/>
      <c r="HB15" s="304"/>
      <c r="HC15" s="304"/>
      <c r="HD15" s="304"/>
      <c r="HE15" s="304"/>
      <c r="HF15" s="304"/>
      <c r="HG15" s="304"/>
      <c r="HH15" s="304"/>
      <c r="HI15" s="304"/>
      <c r="HJ15" s="304"/>
      <c r="HK15" s="304"/>
      <c r="HL15" s="304"/>
      <c r="HM15" s="304"/>
      <c r="HN15" s="304"/>
      <c r="HO15" s="304"/>
      <c r="HP15" s="304"/>
      <c r="HQ15" s="304"/>
      <c r="HR15" s="304"/>
      <c r="HS15" s="304"/>
      <c r="HT15" s="304"/>
      <c r="HU15" s="304"/>
      <c r="HV15" s="304"/>
      <c r="HW15" s="304"/>
      <c r="HX15" s="304"/>
      <c r="HY15" s="304"/>
      <c r="HZ15" s="304"/>
      <c r="IA15" s="304"/>
      <c r="IB15" s="304"/>
      <c r="IC15" s="304"/>
      <c r="ID15" s="304"/>
      <c r="IE15" s="304"/>
      <c r="IF15" s="304"/>
      <c r="IG15" s="304"/>
      <c r="IH15" s="304"/>
      <c r="II15" s="304"/>
      <c r="IJ15" s="304"/>
      <c r="IK15" s="304"/>
      <c r="IL15" s="304"/>
    </row>
    <row r="16" spans="1:246" s="320" customFormat="1" ht="19.95" customHeight="1">
      <c r="A16" s="96"/>
      <c r="B16" s="318"/>
      <c r="C16" s="183" t="s">
        <v>85</v>
      </c>
      <c r="D16" s="319"/>
      <c r="E16" s="107">
        <f>COUNTIFS(Table1351452010[[#All],[Sales]],"คุณนิยนต์ อยู่ทะเล",Table1351452010[[#All],[ค่าขายอุปกรณ์]],"&gt;1")</f>
        <v>0</v>
      </c>
      <c r="F16" s="315">
        <f>SUMIF(Table1351452010[[#All],[Sales]],"คุณนิยนต์ อยู่ทะเล",Table1351452010[[#All],[Total
คอมฯ อุปกรณ์]])</f>
        <v>0</v>
      </c>
      <c r="G16" s="301">
        <v>0</v>
      </c>
      <c r="H16" s="302">
        <f t="shared" si="9"/>
        <v>0</v>
      </c>
      <c r="I16" s="310"/>
      <c r="J16" s="309"/>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c r="CQ16" s="304"/>
      <c r="CR16" s="304"/>
      <c r="CS16" s="304"/>
      <c r="CT16" s="304"/>
      <c r="CU16" s="304"/>
      <c r="CV16" s="304"/>
      <c r="CW16" s="304"/>
      <c r="CX16" s="304"/>
      <c r="CY16" s="304"/>
      <c r="CZ16" s="304"/>
      <c r="DA16" s="304"/>
      <c r="DB16" s="304"/>
      <c r="DC16" s="304"/>
      <c r="DD16" s="304"/>
      <c r="DE16" s="304"/>
      <c r="DF16" s="304"/>
      <c r="DG16" s="304"/>
      <c r="DH16" s="304"/>
      <c r="DI16" s="304"/>
      <c r="DJ16" s="304"/>
      <c r="DK16" s="304"/>
      <c r="DL16" s="304"/>
      <c r="DM16" s="304"/>
      <c r="DN16" s="304"/>
      <c r="DO16" s="304"/>
      <c r="DP16" s="304"/>
      <c r="DQ16" s="304"/>
      <c r="DR16" s="304"/>
      <c r="DS16" s="304"/>
      <c r="DT16" s="304"/>
      <c r="DU16" s="304"/>
      <c r="DV16" s="304"/>
      <c r="DW16" s="304"/>
      <c r="DX16" s="304"/>
      <c r="DY16" s="304"/>
      <c r="DZ16" s="304"/>
      <c r="EA16" s="304"/>
      <c r="EB16" s="304"/>
      <c r="EC16" s="304"/>
      <c r="ED16" s="304"/>
      <c r="EE16" s="304"/>
      <c r="EF16" s="304"/>
      <c r="EG16" s="304"/>
      <c r="EH16" s="304"/>
      <c r="EI16" s="304"/>
      <c r="EJ16" s="304"/>
      <c r="EK16" s="304"/>
      <c r="EL16" s="304"/>
      <c r="EM16" s="304"/>
      <c r="EN16" s="304"/>
      <c r="EO16" s="304"/>
      <c r="EP16" s="304"/>
      <c r="EQ16" s="304"/>
      <c r="ER16" s="304"/>
      <c r="ES16" s="304"/>
      <c r="ET16" s="304"/>
      <c r="EU16" s="304"/>
      <c r="EV16" s="304"/>
      <c r="EW16" s="304"/>
      <c r="EX16" s="304"/>
      <c r="EY16" s="304"/>
      <c r="EZ16" s="304"/>
      <c r="FA16" s="304"/>
      <c r="FB16" s="304"/>
      <c r="FC16" s="304"/>
      <c r="FD16" s="304"/>
      <c r="FE16" s="304"/>
      <c r="FF16" s="304"/>
      <c r="FG16" s="304"/>
      <c r="FH16" s="304"/>
      <c r="FI16" s="304"/>
      <c r="FJ16" s="304"/>
      <c r="FK16" s="304"/>
      <c r="FL16" s="304"/>
      <c r="FM16" s="304"/>
      <c r="FN16" s="304"/>
      <c r="FO16" s="304"/>
      <c r="FP16" s="304"/>
      <c r="FQ16" s="304"/>
      <c r="FR16" s="304"/>
      <c r="FS16" s="304"/>
      <c r="FT16" s="304"/>
      <c r="FU16" s="304"/>
      <c r="FV16" s="304"/>
      <c r="FW16" s="304"/>
      <c r="FX16" s="304"/>
      <c r="FY16" s="304"/>
      <c r="FZ16" s="304"/>
      <c r="GA16" s="304"/>
      <c r="GB16" s="304"/>
      <c r="GC16" s="304"/>
      <c r="GD16" s="304"/>
      <c r="GE16" s="304"/>
      <c r="GF16" s="304"/>
      <c r="GG16" s="304"/>
      <c r="GH16" s="304"/>
      <c r="GI16" s="304"/>
      <c r="GJ16" s="304"/>
      <c r="GK16" s="304"/>
      <c r="GL16" s="304"/>
      <c r="GM16" s="304"/>
      <c r="GN16" s="304"/>
      <c r="GO16" s="304"/>
      <c r="GP16" s="304"/>
      <c r="GQ16" s="304"/>
      <c r="GR16" s="304"/>
      <c r="GS16" s="304"/>
      <c r="GT16" s="304"/>
      <c r="GU16" s="304"/>
      <c r="GV16" s="304"/>
      <c r="GW16" s="304"/>
      <c r="GX16" s="304"/>
      <c r="GY16" s="304"/>
      <c r="GZ16" s="304"/>
      <c r="HA16" s="304"/>
      <c r="HB16" s="304"/>
      <c r="HC16" s="304"/>
      <c r="HD16" s="304"/>
      <c r="HE16" s="304"/>
      <c r="HF16" s="304"/>
      <c r="HG16" s="304"/>
      <c r="HH16" s="304"/>
      <c r="HI16" s="304"/>
      <c r="HJ16" s="304"/>
      <c r="HK16" s="304"/>
      <c r="HL16" s="304"/>
      <c r="HM16" s="304"/>
      <c r="HN16" s="304"/>
      <c r="HO16" s="304"/>
      <c r="HP16" s="304"/>
      <c r="HQ16" s="304"/>
      <c r="HR16" s="304"/>
      <c r="HS16" s="304"/>
      <c r="HT16" s="304"/>
      <c r="HU16" s="304"/>
      <c r="HV16" s="304"/>
      <c r="HW16" s="304"/>
      <c r="HX16" s="304"/>
      <c r="HY16" s="304"/>
      <c r="HZ16" s="304"/>
      <c r="IA16" s="304"/>
      <c r="IB16" s="304"/>
      <c r="IC16" s="304"/>
      <c r="ID16" s="304"/>
      <c r="IE16" s="304"/>
      <c r="IF16" s="304"/>
      <c r="IG16" s="304"/>
      <c r="IH16" s="304"/>
      <c r="II16" s="304"/>
      <c r="IJ16" s="304"/>
      <c r="IK16" s="304"/>
      <c r="IL16" s="304"/>
    </row>
    <row r="17" spans="1:246" s="320" customFormat="1" ht="19.95" customHeight="1">
      <c r="A17" s="96"/>
      <c r="B17" s="318"/>
      <c r="C17" s="187" t="s">
        <v>78</v>
      </c>
      <c r="D17" s="319"/>
      <c r="E17" s="107">
        <f>COUNTIFS(Table1351452010[[#All],[Sales]],"คุณรุ่งอรุณ อินบุญรอด",Table1351452010[[#All],[ค่าขายอุปกรณ์]],"&gt;1")</f>
        <v>0</v>
      </c>
      <c r="F17" s="315">
        <f>SUMIF(Table1351452010[[#All],[Sales]],"คุณรุ่งอรุณ อินบุญรอด",Table1351452010[[#All],[Total
คอมฯ อุปกรณ์]])</f>
        <v>0</v>
      </c>
      <c r="G17" s="301">
        <v>0</v>
      </c>
      <c r="H17" s="302">
        <f t="shared" si="9"/>
        <v>0</v>
      </c>
      <c r="I17" s="310"/>
      <c r="J17" s="309"/>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c r="CQ17" s="304"/>
      <c r="CR17" s="304"/>
      <c r="CS17" s="304"/>
      <c r="CT17" s="304"/>
      <c r="CU17" s="304"/>
      <c r="CV17" s="304"/>
      <c r="CW17" s="304"/>
      <c r="CX17" s="304"/>
      <c r="CY17" s="304"/>
      <c r="CZ17" s="304"/>
      <c r="DA17" s="304"/>
      <c r="DB17" s="304"/>
      <c r="DC17" s="304"/>
      <c r="DD17" s="304"/>
      <c r="DE17" s="304"/>
      <c r="DF17" s="304"/>
      <c r="DG17" s="304"/>
      <c r="DH17" s="304"/>
      <c r="DI17" s="304"/>
      <c r="DJ17" s="304"/>
      <c r="DK17" s="304"/>
      <c r="DL17" s="304"/>
      <c r="DM17" s="304"/>
      <c r="DN17" s="304"/>
      <c r="DO17" s="304"/>
      <c r="DP17" s="304"/>
      <c r="DQ17" s="304"/>
      <c r="DR17" s="304"/>
      <c r="DS17" s="304"/>
      <c r="DT17" s="304"/>
      <c r="DU17" s="304"/>
      <c r="DV17" s="304"/>
      <c r="DW17" s="304"/>
      <c r="DX17" s="304"/>
      <c r="DY17" s="304"/>
      <c r="DZ17" s="304"/>
      <c r="EA17" s="304"/>
      <c r="EB17" s="304"/>
      <c r="EC17" s="304"/>
      <c r="ED17" s="304"/>
      <c r="EE17" s="304"/>
      <c r="EF17" s="304"/>
      <c r="EG17" s="304"/>
      <c r="EH17" s="304"/>
      <c r="EI17" s="304"/>
      <c r="EJ17" s="304"/>
      <c r="EK17" s="304"/>
      <c r="EL17" s="304"/>
      <c r="EM17" s="304"/>
      <c r="EN17" s="304"/>
      <c r="EO17" s="304"/>
      <c r="EP17" s="304"/>
      <c r="EQ17" s="304"/>
      <c r="ER17" s="304"/>
      <c r="ES17" s="304"/>
      <c r="ET17" s="304"/>
      <c r="EU17" s="304"/>
      <c r="EV17" s="304"/>
      <c r="EW17" s="304"/>
      <c r="EX17" s="304"/>
      <c r="EY17" s="304"/>
      <c r="EZ17" s="304"/>
      <c r="FA17" s="304"/>
      <c r="FB17" s="304"/>
      <c r="FC17" s="304"/>
      <c r="FD17" s="304"/>
      <c r="FE17" s="304"/>
      <c r="FF17" s="304"/>
      <c r="FG17" s="304"/>
      <c r="FH17" s="304"/>
      <c r="FI17" s="304"/>
      <c r="FJ17" s="304"/>
      <c r="FK17" s="304"/>
      <c r="FL17" s="304"/>
      <c r="FM17" s="304"/>
      <c r="FN17" s="304"/>
      <c r="FO17" s="304"/>
      <c r="FP17" s="304"/>
      <c r="FQ17" s="304"/>
      <c r="FR17" s="304"/>
      <c r="FS17" s="304"/>
      <c r="FT17" s="304"/>
      <c r="FU17" s="304"/>
      <c r="FV17" s="304"/>
      <c r="FW17" s="304"/>
      <c r="FX17" s="304"/>
      <c r="FY17" s="304"/>
      <c r="FZ17" s="304"/>
      <c r="GA17" s="304"/>
      <c r="GB17" s="304"/>
      <c r="GC17" s="304"/>
      <c r="GD17" s="304"/>
      <c r="GE17" s="304"/>
      <c r="GF17" s="304"/>
      <c r="GG17" s="304"/>
      <c r="GH17" s="304"/>
      <c r="GI17" s="304"/>
      <c r="GJ17" s="304"/>
      <c r="GK17" s="304"/>
      <c r="GL17" s="304"/>
      <c r="GM17" s="304"/>
      <c r="GN17" s="304"/>
      <c r="GO17" s="304"/>
      <c r="GP17" s="304"/>
      <c r="GQ17" s="304"/>
      <c r="GR17" s="304"/>
      <c r="GS17" s="304"/>
      <c r="GT17" s="304"/>
      <c r="GU17" s="304"/>
      <c r="GV17" s="304"/>
      <c r="GW17" s="304"/>
      <c r="GX17" s="304"/>
      <c r="GY17" s="304"/>
      <c r="GZ17" s="304"/>
      <c r="HA17" s="304"/>
      <c r="HB17" s="304"/>
      <c r="HC17" s="304"/>
      <c r="HD17" s="304"/>
      <c r="HE17" s="304"/>
      <c r="HF17" s="304"/>
      <c r="HG17" s="304"/>
      <c r="HH17" s="304"/>
      <c r="HI17" s="304"/>
      <c r="HJ17" s="304"/>
      <c r="HK17" s="304"/>
      <c r="HL17" s="304"/>
      <c r="HM17" s="304"/>
      <c r="HN17" s="304"/>
      <c r="HO17" s="304"/>
      <c r="HP17" s="304"/>
      <c r="HQ17" s="304"/>
      <c r="HR17" s="304"/>
      <c r="HS17" s="304"/>
      <c r="HT17" s="304"/>
      <c r="HU17" s="304"/>
      <c r="HV17" s="304"/>
      <c r="HW17" s="304"/>
      <c r="HX17" s="304"/>
      <c r="HY17" s="304"/>
      <c r="HZ17" s="304"/>
      <c r="IA17" s="304"/>
      <c r="IB17" s="304"/>
      <c r="IC17" s="304"/>
      <c r="ID17" s="304"/>
      <c r="IE17" s="304"/>
      <c r="IF17" s="304"/>
      <c r="IG17" s="304"/>
      <c r="IH17" s="304"/>
      <c r="II17" s="304"/>
      <c r="IJ17" s="304"/>
      <c r="IK17" s="304"/>
      <c r="IL17" s="304"/>
    </row>
    <row r="18" spans="1:246" s="320" customFormat="1" ht="19.95" customHeight="1">
      <c r="A18" s="96"/>
      <c r="B18" s="311"/>
      <c r="C18" s="104" t="s">
        <v>79</v>
      </c>
      <c r="D18" s="319"/>
      <c r="E18" s="107">
        <f>COUNTIFS(Table1351452010[[#All],[Sales]],"คุณศศินาถ จุ้ยอยู่ทอง",Table1351452010[[#All],[ค่าขายอุปกรณ์]],"&gt;1")</f>
        <v>0</v>
      </c>
      <c r="F18" s="315">
        <f>SUMIF(Table1351452010[[#All],[Sales]],"คุณศศินาถ จุ้ยอยู่ทอง",Table1351452010[[#All],[Total
คอมฯ อุปกรณ์]])</f>
        <v>0</v>
      </c>
      <c r="G18" s="301">
        <v>0</v>
      </c>
      <c r="H18" s="302">
        <f t="shared" si="9"/>
        <v>0</v>
      </c>
      <c r="I18" s="310"/>
      <c r="J18" s="309"/>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c r="CJ18" s="304"/>
      <c r="CK18" s="304"/>
      <c r="CL18" s="304"/>
      <c r="CM18" s="304"/>
      <c r="CN18" s="304"/>
      <c r="CO18" s="304"/>
      <c r="CP18" s="304"/>
      <c r="CQ18" s="304"/>
      <c r="CR18" s="304"/>
      <c r="CS18" s="304"/>
      <c r="CT18" s="304"/>
      <c r="CU18" s="304"/>
      <c r="CV18" s="304"/>
      <c r="CW18" s="304"/>
      <c r="CX18" s="304"/>
      <c r="CY18" s="304"/>
      <c r="CZ18" s="304"/>
      <c r="DA18" s="304"/>
      <c r="DB18" s="304"/>
      <c r="DC18" s="304"/>
      <c r="DD18" s="304"/>
      <c r="DE18" s="304"/>
      <c r="DF18" s="304"/>
      <c r="DG18" s="304"/>
      <c r="DH18" s="304"/>
      <c r="DI18" s="304"/>
      <c r="DJ18" s="304"/>
      <c r="DK18" s="304"/>
      <c r="DL18" s="304"/>
      <c r="DM18" s="304"/>
      <c r="DN18" s="304"/>
      <c r="DO18" s="304"/>
      <c r="DP18" s="304"/>
      <c r="DQ18" s="304"/>
      <c r="DR18" s="304"/>
      <c r="DS18" s="304"/>
      <c r="DT18" s="304"/>
      <c r="DU18" s="304"/>
      <c r="DV18" s="304"/>
      <c r="DW18" s="304"/>
      <c r="DX18" s="304"/>
      <c r="DY18" s="304"/>
      <c r="DZ18" s="304"/>
      <c r="EA18" s="304"/>
      <c r="EB18" s="304"/>
      <c r="EC18" s="304"/>
      <c r="ED18" s="304"/>
      <c r="EE18" s="304"/>
      <c r="EF18" s="304"/>
      <c r="EG18" s="304"/>
      <c r="EH18" s="304"/>
      <c r="EI18" s="304"/>
      <c r="EJ18" s="304"/>
      <c r="EK18" s="304"/>
      <c r="EL18" s="304"/>
      <c r="EM18" s="304"/>
      <c r="EN18" s="304"/>
      <c r="EO18" s="304"/>
      <c r="EP18" s="304"/>
      <c r="EQ18" s="304"/>
      <c r="ER18" s="304"/>
      <c r="ES18" s="304"/>
      <c r="ET18" s="304"/>
      <c r="EU18" s="304"/>
      <c r="EV18" s="304"/>
      <c r="EW18" s="304"/>
      <c r="EX18" s="304"/>
      <c r="EY18" s="304"/>
      <c r="EZ18" s="304"/>
      <c r="FA18" s="304"/>
      <c r="FB18" s="304"/>
      <c r="FC18" s="304"/>
      <c r="FD18" s="304"/>
      <c r="FE18" s="304"/>
      <c r="FF18" s="304"/>
      <c r="FG18" s="304"/>
      <c r="FH18" s="304"/>
      <c r="FI18" s="304"/>
      <c r="FJ18" s="304"/>
      <c r="FK18" s="304"/>
      <c r="FL18" s="304"/>
      <c r="FM18" s="304"/>
      <c r="FN18" s="304"/>
      <c r="FO18" s="304"/>
      <c r="FP18" s="304"/>
      <c r="FQ18" s="304"/>
      <c r="FR18" s="304"/>
      <c r="FS18" s="304"/>
      <c r="FT18" s="304"/>
      <c r="FU18" s="304"/>
      <c r="FV18" s="304"/>
      <c r="FW18" s="304"/>
      <c r="FX18" s="304"/>
      <c r="FY18" s="304"/>
      <c r="FZ18" s="304"/>
      <c r="GA18" s="304"/>
      <c r="GB18" s="304"/>
      <c r="GC18" s="304"/>
      <c r="GD18" s="304"/>
      <c r="GE18" s="304"/>
      <c r="GF18" s="304"/>
      <c r="GG18" s="304"/>
      <c r="GH18" s="304"/>
      <c r="GI18" s="304"/>
      <c r="GJ18" s="304"/>
      <c r="GK18" s="304"/>
      <c r="GL18" s="304"/>
      <c r="GM18" s="304"/>
      <c r="GN18" s="304"/>
      <c r="GO18" s="304"/>
      <c r="GP18" s="304"/>
      <c r="GQ18" s="304"/>
      <c r="GR18" s="304"/>
      <c r="GS18" s="304"/>
      <c r="GT18" s="304"/>
      <c r="GU18" s="304"/>
      <c r="GV18" s="304"/>
      <c r="GW18" s="304"/>
      <c r="GX18" s="304"/>
      <c r="GY18" s="304"/>
      <c r="GZ18" s="304"/>
      <c r="HA18" s="304"/>
      <c r="HB18" s="304"/>
      <c r="HC18" s="304"/>
      <c r="HD18" s="304"/>
      <c r="HE18" s="304"/>
      <c r="HF18" s="304"/>
      <c r="HG18" s="304"/>
      <c r="HH18" s="304"/>
      <c r="HI18" s="304"/>
      <c r="HJ18" s="304"/>
      <c r="HK18" s="304"/>
      <c r="HL18" s="304"/>
      <c r="HM18" s="304"/>
      <c r="HN18" s="304"/>
      <c r="HO18" s="304"/>
      <c r="HP18" s="304"/>
      <c r="HQ18" s="304"/>
      <c r="HR18" s="304"/>
      <c r="HS18" s="304"/>
      <c r="HT18" s="304"/>
      <c r="HU18" s="304"/>
      <c r="HV18" s="304"/>
      <c r="HW18" s="304"/>
      <c r="HX18" s="304"/>
      <c r="HY18" s="304"/>
      <c r="HZ18" s="304"/>
      <c r="IA18" s="304"/>
      <c r="IB18" s="304"/>
      <c r="IC18" s="304"/>
      <c r="ID18" s="304"/>
      <c r="IE18" s="304"/>
      <c r="IF18" s="304"/>
      <c r="IG18" s="304"/>
      <c r="IH18" s="304"/>
      <c r="II18" s="304"/>
      <c r="IJ18" s="304"/>
      <c r="IK18" s="304"/>
      <c r="IL18" s="304"/>
    </row>
    <row r="19" spans="1:246" s="320" customFormat="1" ht="19.95" customHeight="1">
      <c r="A19" s="96"/>
      <c r="B19" s="311"/>
      <c r="C19" s="357" t="s">
        <v>103</v>
      </c>
      <c r="D19" s="319"/>
      <c r="E19" s="107">
        <f>COUNTIFS(Table1351452010[[#All],[Sales]],"คุณณรงศ์ศักย์ เหล่ารัตนเวช",Table1351452010[[#All],[ค่าขายอุปกรณ์]],"&gt;1")</f>
        <v>0</v>
      </c>
      <c r="F19" s="315">
        <f>SUMIF(Table1351452010[[#All],[Sales]],"คุณณรงศ์ศักย์ เหล่ารัตนเวช",Table1351452010[[#All],[Total
คอมฯ อุปกรณ์]])</f>
        <v>0</v>
      </c>
      <c r="G19" s="301">
        <v>0</v>
      </c>
      <c r="H19" s="302">
        <f t="shared" ref="H19" si="10">F19-G19</f>
        <v>0</v>
      </c>
      <c r="I19" s="310"/>
      <c r="J19" s="309"/>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c r="CJ19" s="304"/>
      <c r="CK19" s="304"/>
      <c r="CL19" s="304"/>
      <c r="CM19" s="304"/>
      <c r="CN19" s="304"/>
      <c r="CO19" s="304"/>
      <c r="CP19" s="304"/>
      <c r="CQ19" s="304"/>
      <c r="CR19" s="304"/>
      <c r="CS19" s="304"/>
      <c r="CT19" s="304"/>
      <c r="CU19" s="304"/>
      <c r="CV19" s="304"/>
      <c r="CW19" s="304"/>
      <c r="CX19" s="304"/>
      <c r="CY19" s="304"/>
      <c r="CZ19" s="304"/>
      <c r="DA19" s="304"/>
      <c r="DB19" s="304"/>
      <c r="DC19" s="304"/>
      <c r="DD19" s="304"/>
      <c r="DE19" s="304"/>
      <c r="DF19" s="304"/>
      <c r="DG19" s="304"/>
      <c r="DH19" s="304"/>
      <c r="DI19" s="304"/>
      <c r="DJ19" s="304"/>
      <c r="DK19" s="304"/>
      <c r="DL19" s="304"/>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c r="ET19" s="304"/>
      <c r="EU19" s="304"/>
      <c r="EV19" s="304"/>
      <c r="EW19" s="304"/>
      <c r="EX19" s="304"/>
      <c r="EY19" s="304"/>
      <c r="EZ19" s="304"/>
      <c r="FA19" s="304"/>
      <c r="FB19" s="304"/>
      <c r="FC19" s="304"/>
      <c r="FD19" s="304"/>
      <c r="FE19" s="304"/>
      <c r="FF19" s="304"/>
      <c r="FG19" s="304"/>
      <c r="FH19" s="304"/>
      <c r="FI19" s="304"/>
      <c r="FJ19" s="304"/>
      <c r="FK19" s="304"/>
      <c r="FL19" s="304"/>
      <c r="FM19" s="304"/>
      <c r="FN19" s="304"/>
      <c r="FO19" s="304"/>
      <c r="FP19" s="304"/>
      <c r="FQ19" s="304"/>
      <c r="FR19" s="304"/>
      <c r="FS19" s="304"/>
      <c r="FT19" s="304"/>
      <c r="FU19" s="304"/>
      <c r="FV19" s="304"/>
      <c r="FW19" s="304"/>
      <c r="FX19" s="304"/>
      <c r="FY19" s="304"/>
      <c r="FZ19" s="304"/>
      <c r="GA19" s="304"/>
      <c r="GB19" s="304"/>
      <c r="GC19" s="304"/>
      <c r="GD19" s="304"/>
      <c r="GE19" s="304"/>
      <c r="GF19" s="304"/>
      <c r="GG19" s="304"/>
      <c r="GH19" s="304"/>
      <c r="GI19" s="304"/>
      <c r="GJ19" s="304"/>
      <c r="GK19" s="304"/>
      <c r="GL19" s="304"/>
      <c r="GM19" s="304"/>
      <c r="GN19" s="304"/>
      <c r="GO19" s="304"/>
      <c r="GP19" s="304"/>
      <c r="GQ19" s="304"/>
      <c r="GR19" s="304"/>
      <c r="GS19" s="304"/>
      <c r="GT19" s="304"/>
      <c r="GU19" s="304"/>
      <c r="GV19" s="304"/>
      <c r="GW19" s="304"/>
      <c r="GX19" s="304"/>
      <c r="GY19" s="304"/>
      <c r="GZ19" s="304"/>
      <c r="HA19" s="304"/>
      <c r="HB19" s="304"/>
      <c r="HC19" s="304"/>
      <c r="HD19" s="304"/>
      <c r="HE19" s="304"/>
      <c r="HF19" s="304"/>
      <c r="HG19" s="304"/>
      <c r="HH19" s="304"/>
      <c r="HI19" s="304"/>
      <c r="HJ19" s="304"/>
      <c r="HK19" s="304"/>
      <c r="HL19" s="304"/>
      <c r="HM19" s="304"/>
      <c r="HN19" s="304"/>
      <c r="HO19" s="304"/>
      <c r="HP19" s="304"/>
      <c r="HQ19" s="304"/>
      <c r="HR19" s="304"/>
      <c r="HS19" s="304"/>
      <c r="HT19" s="304"/>
      <c r="HU19" s="304"/>
      <c r="HV19" s="304"/>
      <c r="HW19" s="304"/>
      <c r="HX19" s="304"/>
      <c r="HY19" s="304"/>
      <c r="HZ19" s="304"/>
      <c r="IA19" s="304"/>
      <c r="IB19" s="304"/>
      <c r="IC19" s="304"/>
      <c r="ID19" s="304"/>
      <c r="IE19" s="304"/>
      <c r="IF19" s="304"/>
      <c r="IG19" s="304"/>
      <c r="IH19" s="304"/>
      <c r="II19" s="304"/>
      <c r="IJ19" s="304"/>
      <c r="IK19" s="304"/>
      <c r="IL19" s="304"/>
    </row>
    <row r="20" spans="1:246" s="320" customFormat="1" ht="19.95" customHeight="1">
      <c r="A20" s="97"/>
      <c r="B20" s="312"/>
      <c r="C20" s="108" t="s">
        <v>81</v>
      </c>
      <c r="D20" s="321"/>
      <c r="E20" s="109">
        <f>COUNTIFS(Table1351452010[[#All],[Sales]],"คุณธัญลักษณ์ หมื่นหลุบกุง",Table1351452010[[#All],[ค่าขายอุปกรณ์]],"&gt;1")</f>
        <v>0</v>
      </c>
      <c r="F20" s="315">
        <f>SUMIF(Table1351452010[[#All],[Sales]],"คุณธัญลักษณ์ หมื่นหลุบกุง",Table1351452010[[#All],[Total
คอมฯ อุปกรณ์]])</f>
        <v>0</v>
      </c>
      <c r="G20" s="301">
        <v>0</v>
      </c>
      <c r="H20" s="302">
        <f t="shared" si="8"/>
        <v>0</v>
      </c>
      <c r="I20" s="310"/>
      <c r="J20" s="310"/>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c r="CQ20" s="304"/>
      <c r="CR20" s="304"/>
      <c r="CS20" s="304"/>
      <c r="CT20" s="304"/>
      <c r="CU20" s="304"/>
      <c r="CV20" s="304"/>
      <c r="CW20" s="304"/>
      <c r="CX20" s="304"/>
      <c r="CY20" s="304"/>
      <c r="CZ20" s="304"/>
      <c r="DA20" s="304"/>
      <c r="DB20" s="304"/>
      <c r="DC20" s="304"/>
      <c r="DD20" s="304"/>
      <c r="DE20" s="304"/>
      <c r="DF20" s="304"/>
      <c r="DG20" s="304"/>
      <c r="DH20" s="304"/>
      <c r="DI20" s="304"/>
      <c r="DJ20" s="304"/>
      <c r="DK20" s="304"/>
      <c r="DL20" s="304"/>
      <c r="DM20" s="304"/>
      <c r="DN20" s="304"/>
      <c r="DO20" s="304"/>
      <c r="DP20" s="304"/>
      <c r="DQ20" s="304"/>
      <c r="DR20" s="304"/>
      <c r="DS20" s="304"/>
      <c r="DT20" s="304"/>
      <c r="DU20" s="304"/>
      <c r="DV20" s="304"/>
      <c r="DW20" s="304"/>
      <c r="DX20" s="304"/>
      <c r="DY20" s="304"/>
      <c r="DZ20" s="304"/>
      <c r="EA20" s="304"/>
      <c r="EB20" s="304"/>
      <c r="EC20" s="304"/>
      <c r="ED20" s="304"/>
      <c r="EE20" s="304"/>
      <c r="EF20" s="304"/>
      <c r="EG20" s="304"/>
      <c r="EH20" s="304"/>
      <c r="EI20" s="304"/>
      <c r="EJ20" s="304"/>
      <c r="EK20" s="304"/>
      <c r="EL20" s="304"/>
      <c r="EM20" s="304"/>
      <c r="EN20" s="304"/>
      <c r="EO20" s="304"/>
      <c r="EP20" s="304"/>
      <c r="EQ20" s="304"/>
      <c r="ER20" s="304"/>
      <c r="ES20" s="304"/>
      <c r="ET20" s="304"/>
      <c r="EU20" s="304"/>
      <c r="EV20" s="304"/>
      <c r="EW20" s="304"/>
      <c r="EX20" s="304"/>
      <c r="EY20" s="304"/>
      <c r="EZ20" s="304"/>
      <c r="FA20" s="304"/>
      <c r="FB20" s="304"/>
      <c r="FC20" s="304"/>
      <c r="FD20" s="304"/>
      <c r="FE20" s="304"/>
      <c r="FF20" s="304"/>
      <c r="FG20" s="304"/>
      <c r="FH20" s="304"/>
      <c r="FI20" s="304"/>
      <c r="FJ20" s="304"/>
      <c r="FK20" s="304"/>
      <c r="FL20" s="304"/>
      <c r="FM20" s="304"/>
      <c r="FN20" s="304"/>
      <c r="FO20" s="304"/>
      <c r="FP20" s="304"/>
      <c r="FQ20" s="304"/>
      <c r="FR20" s="304"/>
      <c r="FS20" s="304"/>
      <c r="FT20" s="304"/>
      <c r="FU20" s="304"/>
      <c r="FV20" s="304"/>
      <c r="FW20" s="304"/>
      <c r="FX20" s="304"/>
      <c r="FY20" s="304"/>
      <c r="FZ20" s="304"/>
      <c r="GA20" s="304"/>
      <c r="GB20" s="304"/>
      <c r="GC20" s="304"/>
      <c r="GD20" s="304"/>
      <c r="GE20" s="304"/>
      <c r="GF20" s="304"/>
      <c r="GG20" s="304"/>
      <c r="GH20" s="304"/>
      <c r="GI20" s="304"/>
      <c r="GJ20" s="304"/>
      <c r="GK20" s="304"/>
      <c r="GL20" s="304"/>
      <c r="GM20" s="304"/>
      <c r="GN20" s="304"/>
      <c r="GO20" s="304"/>
      <c r="GP20" s="304"/>
      <c r="GQ20" s="304"/>
      <c r="GR20" s="304"/>
      <c r="GS20" s="304"/>
      <c r="GT20" s="304"/>
      <c r="GU20" s="304"/>
      <c r="GV20" s="304"/>
      <c r="GW20" s="304"/>
      <c r="GX20" s="304"/>
      <c r="GY20" s="304"/>
      <c r="GZ20" s="304"/>
      <c r="HA20" s="304"/>
      <c r="HB20" s="304"/>
      <c r="HC20" s="304"/>
      <c r="HD20" s="304"/>
      <c r="HE20" s="304"/>
      <c r="HF20" s="304"/>
      <c r="HG20" s="304"/>
      <c r="HH20" s="304"/>
      <c r="HI20" s="304"/>
      <c r="HJ20" s="304"/>
      <c r="HK20" s="304"/>
      <c r="HL20" s="304"/>
      <c r="HM20" s="304"/>
      <c r="HN20" s="304"/>
      <c r="HO20" s="304"/>
      <c r="HP20" s="304"/>
      <c r="HQ20" s="304"/>
      <c r="HR20" s="304"/>
      <c r="HS20" s="304"/>
      <c r="HT20" s="304"/>
      <c r="HU20" s="304"/>
      <c r="HV20" s="304"/>
      <c r="HW20" s="304"/>
      <c r="HX20" s="304"/>
      <c r="HY20" s="304"/>
      <c r="HZ20" s="304"/>
      <c r="IA20" s="304"/>
      <c r="IB20" s="304"/>
      <c r="IC20" s="304"/>
      <c r="ID20" s="304"/>
      <c r="IE20" s="304"/>
      <c r="IF20" s="304"/>
      <c r="IG20" s="304"/>
      <c r="IH20" s="304"/>
      <c r="II20" s="304"/>
      <c r="IJ20" s="304"/>
      <c r="IK20" s="304"/>
      <c r="IL20" s="304"/>
    </row>
    <row r="21" spans="1:246" s="304" customFormat="1" ht="19.95" customHeight="1">
      <c r="A21" s="95">
        <v>3</v>
      </c>
      <c r="B21" s="322" t="s">
        <v>11</v>
      </c>
      <c r="C21" s="323" t="s">
        <v>82</v>
      </c>
      <c r="D21" s="507" t="s">
        <v>27</v>
      </c>
      <c r="E21" s="107">
        <f>COUNTIFS(Table1351452010[[#All],[Sales]],"คุณนิมิต จุ้ยอยู่ทอง",Table1351452010[[#All],[Total 
คอมฯค่าติดตั้ง/ค่าเชื่อมสัญญาณ]],"&gt;1")</f>
        <v>0</v>
      </c>
      <c r="F21" s="315">
        <f>SUMIF(Table1351452010[[#All],[Sales]],"คุณนิมิต จุ้ยอยู่ทอง",Table1351452010[[#All],[Total 
คอมฯค่าติดตั้ง/ค่าเชื่อมสัญญาณ]])</f>
        <v>0</v>
      </c>
      <c r="G21" s="301">
        <v>0</v>
      </c>
      <c r="H21" s="302">
        <f t="shared" si="8"/>
        <v>0</v>
      </c>
      <c r="I21" s="310"/>
      <c r="J21" s="324"/>
    </row>
    <row r="22" spans="1:246" s="304" customFormat="1" ht="19.95" customHeight="1">
      <c r="A22" s="96"/>
      <c r="B22" s="325"/>
      <c r="C22" s="323" t="s">
        <v>83</v>
      </c>
      <c r="D22" s="508"/>
      <c r="E22" s="107">
        <f>COUNTIFS(Table1351452010[[#All],[Sales]],"คุณธวัช มีแสง",Table1351452010[[#All],[Total 
คอมฯค่าติดตั้ง/ค่าเชื่อมสัญญาณ]],"&gt;1")</f>
        <v>0</v>
      </c>
      <c r="F22" s="315">
        <f>SUMIF(Table1351452010[[#All],[Sales]],"คุณธวัช มีแสง",Table1351452010[[#All],[Total 
คอมฯค่าติดตั้ง/ค่าเชื่อมสัญญาณ]])</f>
        <v>0</v>
      </c>
      <c r="G22" s="301">
        <v>0</v>
      </c>
      <c r="H22" s="302">
        <f t="shared" si="8"/>
        <v>0</v>
      </c>
      <c r="I22" s="310"/>
      <c r="J22" s="324"/>
    </row>
    <row r="23" spans="1:246" s="304" customFormat="1" ht="19.95" customHeight="1">
      <c r="A23" s="96"/>
      <c r="B23" s="325"/>
      <c r="C23" s="104" t="s">
        <v>84</v>
      </c>
      <c r="D23" s="508"/>
      <c r="E23" s="107">
        <f>COUNTIFS(Table1351452010[[#All],[Sales]],"คุณแดง มูลสองแคว",Table1351452010[[#All],[Total 
คอมฯค่าติดตั้ง/ค่าเชื่อมสัญญาณ]],"&gt;1")</f>
        <v>0</v>
      </c>
      <c r="F23" s="315">
        <f>SUMIF(Table1351452010[[#All],[Sales]],"คุณแดง มูลสองแคว",Table1351452010[[#All],[Total 
คอมฯค่าติดตั้ง/ค่าเชื่อมสัญญาณ]])</f>
        <v>0</v>
      </c>
      <c r="G23" s="301">
        <v>0</v>
      </c>
      <c r="H23" s="302">
        <f t="shared" ref="H23:H28" si="11">F23-G23</f>
        <v>0</v>
      </c>
      <c r="I23" s="310"/>
      <c r="J23" s="324"/>
    </row>
    <row r="24" spans="1:246" s="304" customFormat="1" ht="19.95" customHeight="1">
      <c r="A24" s="96"/>
      <c r="B24" s="325"/>
      <c r="C24" s="183" t="s">
        <v>85</v>
      </c>
      <c r="D24" s="508"/>
      <c r="E24" s="107">
        <f>COUNTIFS(Table1351452010[[#All],[Sales]],"คุณนิยนต์ อยู่ทะเล",Table1351452010[[#All],[Total 
คอมฯค่าติดตั้ง/ค่าเชื่อมสัญญาณ]],"&gt;1")</f>
        <v>0</v>
      </c>
      <c r="F24" s="315">
        <f>SUMIF(Table1351452010[[#All],[Sales]],"คุณนิยนต์ อยู่ทะเล",Table1351452010[[#All],[Total 
คอมฯค่าติดตั้ง/ค่าเชื่อมสัญญาณ]])</f>
        <v>0</v>
      </c>
      <c r="G24" s="301">
        <v>0</v>
      </c>
      <c r="H24" s="302">
        <f t="shared" si="11"/>
        <v>0</v>
      </c>
      <c r="I24" s="310"/>
      <c r="J24" s="324"/>
    </row>
    <row r="25" spans="1:246" s="304" customFormat="1" ht="19.95" customHeight="1">
      <c r="A25" s="96"/>
      <c r="B25" s="325"/>
      <c r="C25" s="187" t="s">
        <v>78</v>
      </c>
      <c r="D25" s="508"/>
      <c r="E25" s="107">
        <f>COUNTIFS(Table1351452010[[#All],[Sales]],"คุณรุ่งอรุณ อินบุญรอด",Table1351452010[[#All],[Total 
คอมฯค่าติดตั้ง/ค่าเชื่อมสัญญาณ]],"&gt;1")</f>
        <v>0</v>
      </c>
      <c r="F25" s="315">
        <f>SUMIF(Table1351452010[[#All],[Sales]],"คุณรุ่งอรุณ อินบุญรอด",Table1351452010[[#All],[Total 
คอมฯค่าติดตั้ง/ค่าเชื่อมสัญญาณ]])</f>
        <v>0</v>
      </c>
      <c r="G25" s="301">
        <v>0</v>
      </c>
      <c r="H25" s="302">
        <f t="shared" si="11"/>
        <v>0</v>
      </c>
      <c r="I25" s="310"/>
      <c r="J25" s="324"/>
    </row>
    <row r="26" spans="1:246" s="304" customFormat="1" ht="19.95" customHeight="1">
      <c r="A26" s="96"/>
      <c r="B26" s="311"/>
      <c r="C26" s="323" t="s">
        <v>79</v>
      </c>
      <c r="D26" s="508"/>
      <c r="E26" s="107">
        <f>COUNTIFS(Table1351452010[[#All],[Sales]],"คุณศศินาถ จุ้ยอยู่ทอง",Table1351452010[[#All],[Total 
คอมฯค่าติดตั้ง/ค่าเชื่อมสัญญาณ]],"&gt;1")</f>
        <v>0</v>
      </c>
      <c r="F26" s="315">
        <f>SUMIF(Table1351452010[[#All],[Sales]],"คุณศศินาถ จุ้ยอยู่ทอง",Table1351452010[[#All],[Total 
คอมฯค่าติดตั้ง/ค่าเชื่อมสัญญาณ]])</f>
        <v>0</v>
      </c>
      <c r="G26" s="301">
        <v>0</v>
      </c>
      <c r="H26" s="302">
        <f t="shared" si="11"/>
        <v>0</v>
      </c>
      <c r="I26" s="310"/>
      <c r="J26" s="324"/>
    </row>
    <row r="27" spans="1:246" s="304" customFormat="1" ht="19.95" customHeight="1">
      <c r="A27" s="96"/>
      <c r="B27" s="311"/>
      <c r="C27" s="323" t="s">
        <v>103</v>
      </c>
      <c r="D27" s="508"/>
      <c r="E27" s="107">
        <f>COUNTIFS(Table1351452010[[#All],[Sales]],"คุณณรงศ์ศักย์ เหล่ารัตนเวช",Table1351452010[[#All],[Total 
คอมฯค่าติดตั้ง/ค่าเชื่อมสัญญาณ]],"&gt;1")</f>
        <v>0</v>
      </c>
      <c r="F27" s="315">
        <f>SUMIF(Table1351452010[[#All],[Sales]],"คุณณรงศ์ศักย์ เหล่ารัตนเวช",Table1351452010[[#All],[Total 
คอมฯค่าติดตั้ง/ค่าเชื่อมสัญญาณ]])</f>
        <v>0</v>
      </c>
      <c r="G27" s="301">
        <v>0</v>
      </c>
      <c r="H27" s="302">
        <f t="shared" si="11"/>
        <v>0</v>
      </c>
      <c r="I27" s="310"/>
      <c r="J27" s="324"/>
    </row>
    <row r="28" spans="1:246" s="304" customFormat="1" ht="19.95" customHeight="1">
      <c r="A28" s="96"/>
      <c r="B28" s="326"/>
      <c r="C28" s="110" t="s">
        <v>81</v>
      </c>
      <c r="D28" s="509"/>
      <c r="E28" s="107">
        <f>COUNTIFS(Table1351452010[[#All],[Sales]],"คุณธัญลักษณ์ หมื่นหลุบกุง",Table1351452010[[#All],[Total 
คอมฯค่าติดตั้ง/ค่าเชื่อมสัญญาณ]],"&gt;1")</f>
        <v>0</v>
      </c>
      <c r="F28" s="315">
        <f>SUMIF(Table1351452010[[#All],[Sales]],"คุณธัญลักษณ์ หมื่นหลุบกุง",Table1351452010[[#All],[Total 
คอมฯค่าติดตั้ง/ค่าเชื่อมสัญญาณ]])</f>
        <v>0</v>
      </c>
      <c r="G28" s="301">
        <v>0</v>
      </c>
      <c r="H28" s="302">
        <f t="shared" si="11"/>
        <v>0</v>
      </c>
      <c r="I28" s="324"/>
      <c r="J28" s="324"/>
    </row>
    <row r="29" spans="1:246" s="304" customFormat="1" ht="21" customHeight="1">
      <c r="A29" s="327"/>
      <c r="B29" s="127" t="s">
        <v>12</v>
      </c>
      <c r="C29" s="127"/>
      <c r="D29" s="127"/>
      <c r="E29" s="120">
        <f>SUM(E5:E28)</f>
        <v>0</v>
      </c>
      <c r="F29" s="328">
        <f>SUM(F5:F28)</f>
        <v>0</v>
      </c>
      <c r="G29" s="328">
        <f>SUM(G5:G28)</f>
        <v>0</v>
      </c>
      <c r="H29" s="329">
        <f>SUM(H5:H28)</f>
        <v>0</v>
      </c>
      <c r="I29" s="324"/>
      <c r="J29" s="324"/>
    </row>
    <row r="30" spans="1:246" s="304" customFormat="1" ht="13.95" customHeight="1">
      <c r="B30" s="330"/>
      <c r="C30" s="330"/>
      <c r="D30" s="330"/>
      <c r="E30" s="331"/>
      <c r="F30" s="331"/>
      <c r="G30" s="331"/>
      <c r="H30" s="332"/>
      <c r="I30" s="331"/>
    </row>
    <row r="31" spans="1:246" s="304" customFormat="1" ht="7.95" customHeight="1">
      <c r="B31" s="330"/>
      <c r="C31" s="330"/>
      <c r="D31" s="330"/>
      <c r="E31" s="331"/>
      <c r="F31" s="331"/>
      <c r="G31" s="331"/>
      <c r="H31" s="331"/>
      <c r="I31" s="331"/>
    </row>
    <row r="32" spans="1:246" ht="19.95" customHeight="1">
      <c r="B32" s="501" t="s">
        <v>106</v>
      </c>
      <c r="C32" s="502"/>
      <c r="D32" s="502"/>
      <c r="E32" s="502"/>
      <c r="F32" s="502"/>
      <c r="G32" s="502"/>
      <c r="H32" s="502"/>
      <c r="I32" s="502"/>
      <c r="J32" s="502"/>
      <c r="K32" s="503"/>
    </row>
    <row r="33" spans="2:12" s="304" customFormat="1" ht="14.55" customHeight="1">
      <c r="B33" s="504"/>
      <c r="C33" s="505"/>
      <c r="D33" s="505"/>
      <c r="E33" s="505"/>
      <c r="F33" s="505"/>
      <c r="G33" s="505"/>
      <c r="H33" s="505"/>
      <c r="I33" s="505"/>
      <c r="J33" s="505"/>
      <c r="K33" s="506"/>
    </row>
    <row r="34" spans="2:12" s="371" customFormat="1" ht="33.6" customHeight="1">
      <c r="B34" s="382" t="s">
        <v>42</v>
      </c>
      <c r="C34" s="382" t="s">
        <v>13</v>
      </c>
      <c r="D34" s="382" t="s">
        <v>35</v>
      </c>
      <c r="E34" s="383" t="s">
        <v>33</v>
      </c>
      <c r="F34" s="383" t="s">
        <v>15</v>
      </c>
      <c r="G34" s="383" t="s">
        <v>34</v>
      </c>
      <c r="H34" s="382" t="s">
        <v>32</v>
      </c>
      <c r="I34" s="382" t="s">
        <v>30</v>
      </c>
      <c r="J34" s="384" t="s">
        <v>89</v>
      </c>
      <c r="K34" s="384" t="s">
        <v>90</v>
      </c>
    </row>
    <row r="35" spans="2:12" ht="19.95" customHeight="1">
      <c r="B35" s="124" t="s">
        <v>23</v>
      </c>
      <c r="C35" s="117" t="s">
        <v>91</v>
      </c>
      <c r="D35" s="333" t="s">
        <v>82</v>
      </c>
      <c r="E35" s="334">
        <f>SUM(G58)</f>
        <v>0</v>
      </c>
      <c r="F35" s="335">
        <v>0</v>
      </c>
      <c r="G35" s="336">
        <f>SUM(E35-F35)</f>
        <v>0</v>
      </c>
      <c r="H35" s="121">
        <v>0</v>
      </c>
      <c r="I35" s="380">
        <f>SUM(G35-H35)</f>
        <v>0</v>
      </c>
      <c r="J35" s="295" t="s">
        <v>101</v>
      </c>
      <c r="K35" s="296" t="s">
        <v>94</v>
      </c>
    </row>
    <row r="36" spans="2:12" ht="19.95" customHeight="1">
      <c r="B36" s="126"/>
      <c r="C36" s="117" t="s">
        <v>91</v>
      </c>
      <c r="D36" s="333" t="s">
        <v>83</v>
      </c>
      <c r="E36" s="334">
        <f t="shared" ref="E36:E40" si="12">SUM(G59)</f>
        <v>0</v>
      </c>
      <c r="F36" s="335"/>
      <c r="G36" s="336">
        <f t="shared" ref="G36:G44" si="13">SUM(E36-F36)</f>
        <v>0</v>
      </c>
      <c r="H36" s="121">
        <v>0</v>
      </c>
      <c r="I36" s="380">
        <f t="shared" ref="I36:I44" si="14">SUM(G36-H36)</f>
        <v>0</v>
      </c>
      <c r="J36" s="295" t="s">
        <v>101</v>
      </c>
      <c r="K36" s="296" t="s">
        <v>95</v>
      </c>
    </row>
    <row r="37" spans="2:12" ht="19.95" customHeight="1">
      <c r="B37" s="126"/>
      <c r="C37" s="117" t="s">
        <v>91</v>
      </c>
      <c r="D37" s="333" t="s">
        <v>84</v>
      </c>
      <c r="E37" s="337">
        <f t="shared" si="12"/>
        <v>0</v>
      </c>
      <c r="F37" s="336">
        <v>0</v>
      </c>
      <c r="G37" s="336">
        <f t="shared" ref="G37" si="15">SUM(E37-F37)</f>
        <v>0</v>
      </c>
      <c r="H37" s="128">
        <v>0</v>
      </c>
      <c r="I37" s="380">
        <f t="shared" ref="I37" si="16">SUM(G37-H37)</f>
        <v>0</v>
      </c>
      <c r="J37" s="295" t="s">
        <v>101</v>
      </c>
      <c r="K37" s="296" t="s">
        <v>96</v>
      </c>
    </row>
    <row r="38" spans="2:12" ht="19.95" customHeight="1">
      <c r="B38" s="126"/>
      <c r="C38" s="117" t="s">
        <v>17</v>
      </c>
      <c r="D38" s="338" t="s">
        <v>85</v>
      </c>
      <c r="E38" s="337">
        <f t="shared" si="12"/>
        <v>0</v>
      </c>
      <c r="F38" s="336">
        <v>0</v>
      </c>
      <c r="G38" s="336">
        <f t="shared" ref="G38" si="17">SUM(E38-F38)</f>
        <v>0</v>
      </c>
      <c r="H38" s="128">
        <v>0</v>
      </c>
      <c r="I38" s="380">
        <f t="shared" ref="I38" si="18">SUM(G38-H38)</f>
        <v>0</v>
      </c>
      <c r="J38" s="295" t="s">
        <v>101</v>
      </c>
      <c r="K38" s="296" t="s">
        <v>97</v>
      </c>
    </row>
    <row r="39" spans="2:12" ht="19.95" customHeight="1">
      <c r="B39" s="126"/>
      <c r="C39" s="117" t="s">
        <v>91</v>
      </c>
      <c r="D39" s="339" t="s">
        <v>78</v>
      </c>
      <c r="E39" s="337">
        <f t="shared" si="12"/>
        <v>0</v>
      </c>
      <c r="F39" s="336">
        <v>0</v>
      </c>
      <c r="G39" s="336">
        <f>SUM(E39-F39)</f>
        <v>0</v>
      </c>
      <c r="H39" s="128">
        <v>0</v>
      </c>
      <c r="I39" s="380">
        <f t="shared" ref="I39" si="19">SUM(G39-H39)</f>
        <v>0</v>
      </c>
      <c r="J39" s="295" t="s">
        <v>101</v>
      </c>
      <c r="K39" s="296" t="s">
        <v>98</v>
      </c>
    </row>
    <row r="40" spans="2:12" ht="19.95" customHeight="1">
      <c r="B40" s="126"/>
      <c r="C40" s="117" t="s">
        <v>91</v>
      </c>
      <c r="D40" s="339" t="s">
        <v>79</v>
      </c>
      <c r="E40" s="337">
        <f t="shared" si="12"/>
        <v>0</v>
      </c>
      <c r="F40" s="336">
        <v>0</v>
      </c>
      <c r="G40" s="336">
        <f>SUM(E40-F40)</f>
        <v>0</v>
      </c>
      <c r="H40" s="128">
        <v>0</v>
      </c>
      <c r="I40" s="380">
        <f t="shared" ref="I40" si="20">SUM(G40-H40)</f>
        <v>0</v>
      </c>
      <c r="J40" s="295" t="s">
        <v>101</v>
      </c>
      <c r="K40" s="296" t="s">
        <v>99</v>
      </c>
    </row>
    <row r="41" spans="2:12" ht="19.95" customHeight="1">
      <c r="B41" s="126"/>
      <c r="C41" s="117" t="s">
        <v>91</v>
      </c>
      <c r="D41" s="359" t="s">
        <v>103</v>
      </c>
      <c r="E41" s="337">
        <f>SUM(G64)</f>
        <v>0</v>
      </c>
      <c r="F41" s="336">
        <v>0</v>
      </c>
      <c r="G41" s="336">
        <f>SUM(E41-F41)</f>
        <v>0</v>
      </c>
      <c r="H41" s="128">
        <v>0</v>
      </c>
      <c r="I41" s="380">
        <f t="shared" ref="I41" si="21">SUM(G41-H41)</f>
        <v>0</v>
      </c>
      <c r="J41" s="295" t="s">
        <v>101</v>
      </c>
      <c r="K41" s="296" t="s">
        <v>104</v>
      </c>
    </row>
    <row r="42" spans="2:12" ht="19.95" customHeight="1">
      <c r="B42" s="125"/>
      <c r="C42" s="117" t="s">
        <v>91</v>
      </c>
      <c r="D42" s="333" t="s">
        <v>81</v>
      </c>
      <c r="E42" s="337">
        <f t="shared" ref="E42" si="22">SUM(G65)</f>
        <v>0</v>
      </c>
      <c r="F42" s="336">
        <v>0</v>
      </c>
      <c r="G42" s="336">
        <f t="shared" si="13"/>
        <v>0</v>
      </c>
      <c r="H42" s="128">
        <v>0</v>
      </c>
      <c r="I42" s="380">
        <f t="shared" si="14"/>
        <v>0</v>
      </c>
      <c r="J42" s="295" t="s">
        <v>101</v>
      </c>
      <c r="K42" s="297" t="s">
        <v>100</v>
      </c>
    </row>
    <row r="43" spans="2:12" ht="19.95" customHeight="1">
      <c r="B43" s="119" t="s">
        <v>71</v>
      </c>
      <c r="C43" s="117" t="s">
        <v>91</v>
      </c>
      <c r="D43" s="339" t="s">
        <v>83</v>
      </c>
      <c r="E43" s="334">
        <f>SUM(G66)</f>
        <v>0</v>
      </c>
      <c r="F43" s="335">
        <v>0</v>
      </c>
      <c r="G43" s="336">
        <f t="shared" si="13"/>
        <v>0</v>
      </c>
      <c r="H43" s="340">
        <v>0</v>
      </c>
      <c r="I43" s="380">
        <f t="shared" si="14"/>
        <v>0</v>
      </c>
      <c r="J43" s="295" t="s">
        <v>101</v>
      </c>
      <c r="K43" s="295" t="s">
        <v>95</v>
      </c>
    </row>
    <row r="44" spans="2:12" ht="19.95" customHeight="1">
      <c r="B44" s="119" t="s">
        <v>24</v>
      </c>
      <c r="C44" s="117" t="s">
        <v>72</v>
      </c>
      <c r="D44" s="339" t="s">
        <v>111</v>
      </c>
      <c r="E44" s="334">
        <f>SUM(G67)</f>
        <v>0</v>
      </c>
      <c r="F44" s="335">
        <v>0</v>
      </c>
      <c r="G44" s="336">
        <f t="shared" si="13"/>
        <v>0</v>
      </c>
      <c r="H44" s="340">
        <v>0</v>
      </c>
      <c r="I44" s="380">
        <f t="shared" si="14"/>
        <v>0</v>
      </c>
      <c r="J44" s="295" t="s">
        <v>101</v>
      </c>
      <c r="K44" s="295" t="s">
        <v>112</v>
      </c>
    </row>
    <row r="45" spans="2:12" ht="19.95" customHeight="1">
      <c r="B45" s="203" t="s">
        <v>25</v>
      </c>
      <c r="C45" s="184" t="s">
        <v>72</v>
      </c>
      <c r="D45" s="339" t="s">
        <v>92</v>
      </c>
      <c r="E45" s="334">
        <f>SUM(G68)</f>
        <v>0</v>
      </c>
      <c r="F45" s="335">
        <v>0</v>
      </c>
      <c r="G45" s="336">
        <f t="shared" ref="G45" si="23">SUM(E45-F45)</f>
        <v>0</v>
      </c>
      <c r="H45" s="340">
        <v>0</v>
      </c>
      <c r="I45" s="380">
        <f t="shared" ref="I45" si="24">SUM(G45-H45)</f>
        <v>0</v>
      </c>
      <c r="J45" s="295" t="s">
        <v>101</v>
      </c>
      <c r="K45" s="295" t="s">
        <v>102</v>
      </c>
      <c r="L45" s="341"/>
    </row>
    <row r="46" spans="2:12" s="348" customFormat="1" ht="19.95" customHeight="1">
      <c r="B46" s="130"/>
      <c r="C46" s="131"/>
      <c r="D46" s="342"/>
      <c r="E46" s="343">
        <f>SUM(E35:E45)</f>
        <v>0</v>
      </c>
      <c r="F46" s="344"/>
      <c r="G46" s="345">
        <f>SUM(G35:G45)</f>
        <v>0</v>
      </c>
      <c r="H46" s="346"/>
      <c r="I46" s="347">
        <f>SUM(I35:I45)</f>
        <v>0</v>
      </c>
      <c r="J46" s="294"/>
      <c r="K46" s="294"/>
    </row>
    <row r="47" spans="2:12" ht="15.6">
      <c r="B47" s="74"/>
      <c r="C47" s="74"/>
      <c r="D47" s="75"/>
      <c r="E47" s="349"/>
      <c r="F47" s="350"/>
      <c r="G47" s="350"/>
      <c r="H47" s="351"/>
      <c r="I47" s="71"/>
    </row>
    <row r="48" spans="2:12" ht="15.6">
      <c r="B48" s="74"/>
      <c r="C48" s="74"/>
      <c r="D48" s="75"/>
      <c r="E48" s="349"/>
      <c r="F48" s="350"/>
      <c r="G48" s="350"/>
      <c r="H48" s="350"/>
      <c r="I48" s="350"/>
    </row>
    <row r="49" spans="2:13" s="304" customFormat="1" ht="14.55" customHeight="1">
      <c r="E49" s="352"/>
      <c r="F49" s="352"/>
      <c r="G49" s="352"/>
      <c r="H49" s="352"/>
      <c r="I49" s="71"/>
      <c r="J49" s="71"/>
      <c r="K49" s="71"/>
      <c r="L49" s="71"/>
      <c r="M49" s="71"/>
    </row>
    <row r="50" spans="2:13" ht="13.8">
      <c r="E50" s="353"/>
      <c r="F50" s="353"/>
      <c r="G50" s="353"/>
      <c r="H50" s="353"/>
      <c r="I50" s="71"/>
    </row>
    <row r="51" spans="2:13" ht="13.8">
      <c r="E51" s="353"/>
      <c r="F51" s="353"/>
      <c r="G51" s="353"/>
      <c r="H51" s="353"/>
      <c r="I51" s="71"/>
    </row>
    <row r="52" spans="2:13" ht="13.8">
      <c r="E52" s="353"/>
      <c r="F52" s="353"/>
      <c r="G52" s="353"/>
      <c r="H52" s="353"/>
      <c r="I52" s="71"/>
    </row>
    <row r="53" spans="2:13" ht="13.8">
      <c r="E53" s="353"/>
      <c r="F53" s="353"/>
      <c r="G53" s="353"/>
      <c r="H53" s="353"/>
      <c r="I53" s="71"/>
    </row>
    <row r="54" spans="2:13" ht="13.8">
      <c r="E54" s="353"/>
      <c r="F54" s="353"/>
      <c r="G54" s="353"/>
      <c r="H54" s="353"/>
      <c r="I54" s="71"/>
    </row>
    <row r="55" spans="2:13" ht="13.95" hidden="1" customHeight="1">
      <c r="E55" s="353"/>
      <c r="F55" s="353"/>
      <c r="G55" s="353"/>
      <c r="H55" s="353"/>
      <c r="I55" s="71"/>
    </row>
    <row r="56" spans="2:13" ht="19.95" hidden="1" customHeight="1">
      <c r="B56" s="385" t="s">
        <v>93</v>
      </c>
      <c r="C56" s="386"/>
      <c r="D56" s="386"/>
      <c r="E56" s="386"/>
      <c r="F56" s="386"/>
      <c r="G56" s="387"/>
      <c r="H56" s="115"/>
      <c r="I56" s="71"/>
    </row>
    <row r="57" spans="2:13" ht="22.2" hidden="1" customHeight="1">
      <c r="B57" s="112" t="s">
        <v>42</v>
      </c>
      <c r="C57" s="112" t="s">
        <v>13</v>
      </c>
      <c r="D57" s="112" t="s">
        <v>14</v>
      </c>
      <c r="E57" s="113" t="s">
        <v>22</v>
      </c>
      <c r="F57" s="113" t="s">
        <v>15</v>
      </c>
      <c r="G57" s="114" t="s">
        <v>16</v>
      </c>
      <c r="H57" s="115"/>
      <c r="I57" s="115"/>
    </row>
    <row r="58" spans="2:13" ht="22.2" hidden="1" customHeight="1">
      <c r="B58" s="124" t="s">
        <v>23</v>
      </c>
      <c r="C58" s="117" t="s">
        <v>91</v>
      </c>
      <c r="D58" s="333" t="s">
        <v>82</v>
      </c>
      <c r="E58" s="117">
        <v>0.75</v>
      </c>
      <c r="F58" s="300">
        <v>0</v>
      </c>
      <c r="G58" s="308">
        <f>SUMIF($C4:$C29,"คุณนิมิต จุ้ยอยู่ทอง",$H4:$H29)*E58</f>
        <v>0</v>
      </c>
      <c r="H58" s="354"/>
      <c r="I58" s="115"/>
    </row>
    <row r="59" spans="2:13" ht="22.2" hidden="1" customHeight="1">
      <c r="B59" s="126"/>
      <c r="C59" s="117" t="s">
        <v>91</v>
      </c>
      <c r="D59" s="333" t="s">
        <v>83</v>
      </c>
      <c r="E59" s="117">
        <v>0.75</v>
      </c>
      <c r="F59" s="300">
        <v>0</v>
      </c>
      <c r="G59" s="308">
        <f>SUMIF($C5:$C30,"คุณธวัช มีแสง",$H5:$H30)*E59</f>
        <v>0</v>
      </c>
      <c r="H59" s="354"/>
      <c r="I59" s="115"/>
    </row>
    <row r="60" spans="2:13" ht="22.2" hidden="1" customHeight="1">
      <c r="B60" s="126"/>
      <c r="C60" s="117" t="s">
        <v>91</v>
      </c>
      <c r="D60" s="333" t="s">
        <v>84</v>
      </c>
      <c r="E60" s="117">
        <v>0.75</v>
      </c>
      <c r="F60" s="300">
        <v>0</v>
      </c>
      <c r="G60" s="308">
        <f>SUMIF($C5:$C29,"คุณแดง มูลสองแคว",$H5:$H29)*E60</f>
        <v>0</v>
      </c>
      <c r="H60" s="354"/>
      <c r="I60" s="115"/>
    </row>
    <row r="61" spans="2:13" ht="22.2" hidden="1" customHeight="1">
      <c r="B61" s="126"/>
      <c r="C61" s="117" t="s">
        <v>17</v>
      </c>
      <c r="D61" s="338" t="s">
        <v>85</v>
      </c>
      <c r="E61" s="117">
        <v>0.75</v>
      </c>
      <c r="F61" s="300">
        <v>0</v>
      </c>
      <c r="G61" s="308">
        <f>SUMIF($C5:$C29,"คุณนิยนต์ อยู่ทะเล",$H5:$H29)*E61</f>
        <v>0</v>
      </c>
      <c r="H61" s="354"/>
      <c r="I61" s="115"/>
    </row>
    <row r="62" spans="2:13" ht="22.2" hidden="1" customHeight="1">
      <c r="B62" s="126"/>
      <c r="C62" s="184" t="s">
        <v>91</v>
      </c>
      <c r="D62" s="339" t="s">
        <v>78</v>
      </c>
      <c r="E62" s="117">
        <v>0.75</v>
      </c>
      <c r="F62" s="300">
        <v>0</v>
      </c>
      <c r="G62" s="308">
        <f>SUMIF($C5:$C29,"คุณรุ่งอรุณ อินบุญรอด",$H5:$H29)*E62</f>
        <v>0</v>
      </c>
      <c r="H62" s="354"/>
      <c r="I62" s="115"/>
    </row>
    <row r="63" spans="2:13" ht="22.2" hidden="1" customHeight="1">
      <c r="B63" s="126"/>
      <c r="C63" s="117" t="s">
        <v>91</v>
      </c>
      <c r="D63" s="339" t="s">
        <v>79</v>
      </c>
      <c r="E63" s="117">
        <v>0.75</v>
      </c>
      <c r="F63" s="300">
        <v>0</v>
      </c>
      <c r="G63" s="308">
        <f>SUMIF($C5:$C31,"คุณศศินาถ จุ้ยอยู่ทอง",$H5:$H34)*E63</f>
        <v>0</v>
      </c>
      <c r="H63" s="354"/>
      <c r="I63" s="115"/>
    </row>
    <row r="64" spans="2:13" ht="22.2" hidden="1" customHeight="1">
      <c r="B64" s="126"/>
      <c r="C64" s="358" t="s">
        <v>91</v>
      </c>
      <c r="D64" s="359" t="s">
        <v>103</v>
      </c>
      <c r="E64" s="117">
        <v>0.75</v>
      </c>
      <c r="F64" s="300">
        <v>0</v>
      </c>
      <c r="G64" s="308">
        <f>SUMIF($C5:$C29,"คุณณรงศ์ศักย์ เหล่ารัตนเวช",$H5:$H29)*E64</f>
        <v>0</v>
      </c>
      <c r="H64" s="354"/>
      <c r="I64" s="115"/>
    </row>
    <row r="65" spans="2:9" ht="22.2" hidden="1" customHeight="1">
      <c r="B65" s="125"/>
      <c r="C65" s="117" t="s">
        <v>91</v>
      </c>
      <c r="D65" s="333" t="s">
        <v>81</v>
      </c>
      <c r="E65" s="117">
        <v>0.75</v>
      </c>
      <c r="F65" s="300">
        <v>0</v>
      </c>
      <c r="G65" s="308">
        <f>SUMIF($C5:$C29,"คุณธัญลักษณ์ หมื่นหลุบกุง",$H5:$H29)*E65</f>
        <v>0</v>
      </c>
      <c r="H65" s="354"/>
      <c r="I65" s="115"/>
    </row>
    <row r="66" spans="2:9" ht="22.2" hidden="1" customHeight="1">
      <c r="B66" s="119" t="s">
        <v>71</v>
      </c>
      <c r="C66" s="117" t="s">
        <v>91</v>
      </c>
      <c r="D66" s="333" t="s">
        <v>83</v>
      </c>
      <c r="E66" s="117">
        <v>0.05</v>
      </c>
      <c r="F66" s="300">
        <v>0</v>
      </c>
      <c r="G66" s="308">
        <f>$H$29*E66</f>
        <v>0</v>
      </c>
      <c r="H66" s="115"/>
      <c r="I66" s="115"/>
    </row>
    <row r="67" spans="2:9" ht="22.2" hidden="1" customHeight="1">
      <c r="B67" s="119" t="s">
        <v>24</v>
      </c>
      <c r="C67" s="117" t="s">
        <v>72</v>
      </c>
      <c r="D67" s="333" t="s">
        <v>111</v>
      </c>
      <c r="E67" s="117">
        <v>0.12</v>
      </c>
      <c r="F67" s="300">
        <v>0</v>
      </c>
      <c r="G67" s="308">
        <f>$H$29*E67</f>
        <v>0</v>
      </c>
      <c r="H67" s="115"/>
      <c r="I67" s="115"/>
    </row>
    <row r="68" spans="2:9" ht="22.2" hidden="1" customHeight="1">
      <c r="B68" s="119" t="s">
        <v>25</v>
      </c>
      <c r="C68" s="117" t="s">
        <v>72</v>
      </c>
      <c r="D68" s="333" t="s">
        <v>92</v>
      </c>
      <c r="E68" s="117">
        <v>0.08</v>
      </c>
      <c r="F68" s="300">
        <v>0</v>
      </c>
      <c r="G68" s="355">
        <f>$H$29*E68</f>
        <v>0</v>
      </c>
      <c r="H68" s="115"/>
      <c r="I68" s="115"/>
    </row>
    <row r="69" spans="2:9" ht="18.600000000000001" hidden="1" customHeight="1">
      <c r="B69" s="74"/>
      <c r="C69" s="74"/>
      <c r="D69" s="75"/>
      <c r="E69" s="349"/>
      <c r="F69" s="350"/>
      <c r="G69" s="356">
        <f>SUM(G58:G68)</f>
        <v>0</v>
      </c>
      <c r="H69" s="115"/>
      <c r="I69" s="71"/>
    </row>
    <row r="70" spans="2:9" ht="13.8" hidden="1">
      <c r="E70" s="353"/>
      <c r="F70" s="353"/>
      <c r="G70" s="353"/>
      <c r="H70" s="115"/>
      <c r="I70" s="353"/>
    </row>
    <row r="71" spans="2:9" ht="13.8">
      <c r="E71" s="353"/>
      <c r="F71" s="353"/>
      <c r="G71" s="353"/>
      <c r="H71" s="115"/>
      <c r="I71" s="353"/>
    </row>
    <row r="72" spans="2:9" ht="13.8">
      <c r="E72" s="353"/>
      <c r="F72" s="353"/>
      <c r="G72" s="353"/>
      <c r="H72" s="115"/>
      <c r="I72" s="353"/>
    </row>
    <row r="73" spans="2:9" ht="13.8">
      <c r="E73" s="353"/>
      <c r="F73" s="353"/>
      <c r="G73" s="353"/>
      <c r="H73" s="115"/>
      <c r="I73" s="353"/>
    </row>
    <row r="74" spans="2:9" ht="13.8">
      <c r="E74" s="353"/>
      <c r="F74" s="353"/>
      <c r="G74" s="353"/>
      <c r="H74" s="353"/>
      <c r="I74" s="353"/>
    </row>
    <row r="75" spans="2:9" ht="13.8">
      <c r="E75" s="353"/>
      <c r="F75" s="353"/>
      <c r="G75" s="353"/>
      <c r="H75" s="353"/>
      <c r="I75" s="353"/>
    </row>
    <row r="76" spans="2:9" ht="13.8">
      <c r="E76" s="353"/>
      <c r="F76" s="353"/>
      <c r="G76" s="353"/>
      <c r="H76" s="353"/>
      <c r="I76" s="353"/>
    </row>
    <row r="77" spans="2:9" ht="13.8">
      <c r="E77" s="353"/>
      <c r="F77" s="353"/>
      <c r="G77" s="353"/>
      <c r="H77" s="353"/>
      <c r="I77" s="353"/>
    </row>
    <row r="78" spans="2:9" ht="13.8">
      <c r="E78" s="353"/>
      <c r="F78" s="353"/>
      <c r="G78" s="353"/>
      <c r="H78" s="353"/>
      <c r="I78" s="353"/>
    </row>
    <row r="79" spans="2:9" ht="13.8">
      <c r="E79" s="353"/>
      <c r="F79" s="353"/>
      <c r="G79" s="353"/>
      <c r="H79" s="353"/>
      <c r="I79" s="353"/>
    </row>
    <row r="80" spans="2:9" ht="13.8">
      <c r="E80" s="353"/>
      <c r="F80" s="353"/>
      <c r="G80" s="353"/>
      <c r="H80" s="353"/>
      <c r="I80" s="353"/>
    </row>
    <row r="81" spans="5:9" ht="13.8">
      <c r="E81" s="353"/>
      <c r="F81" s="353"/>
      <c r="G81" s="353"/>
      <c r="H81" s="353"/>
      <c r="I81" s="353"/>
    </row>
    <row r="82" spans="5:9" ht="13.8">
      <c r="E82" s="353"/>
      <c r="F82" s="353"/>
      <c r="G82" s="353"/>
      <c r="H82" s="353"/>
      <c r="I82" s="353"/>
    </row>
    <row r="83" spans="5:9" ht="13.95" customHeight="1">
      <c r="E83" s="353"/>
      <c r="F83" s="353"/>
      <c r="G83" s="353"/>
      <c r="H83" s="353"/>
      <c r="I83" s="353"/>
    </row>
    <row r="84" spans="5:9" ht="13.95" customHeight="1">
      <c r="E84" s="353"/>
      <c r="F84" s="353"/>
      <c r="G84" s="353"/>
      <c r="H84" s="353"/>
      <c r="I84" s="353"/>
    </row>
    <row r="85" spans="5:9" ht="13.95" customHeight="1">
      <c r="E85" s="353"/>
      <c r="F85" s="353"/>
      <c r="G85" s="353"/>
      <c r="H85" s="353"/>
      <c r="I85" s="353"/>
    </row>
    <row r="86" spans="5:9" ht="13.8">
      <c r="E86" s="353"/>
      <c r="F86" s="353"/>
      <c r="G86" s="353"/>
      <c r="H86" s="353"/>
      <c r="I86" s="353"/>
    </row>
    <row r="87" spans="5:9" ht="13.8">
      <c r="E87" s="353"/>
      <c r="F87" s="353"/>
      <c r="G87" s="353"/>
      <c r="H87" s="353"/>
      <c r="I87" s="353"/>
    </row>
    <row r="88" spans="5:9" ht="13.8">
      <c r="E88" s="353"/>
      <c r="F88" s="353"/>
      <c r="G88" s="353"/>
      <c r="H88" s="353"/>
      <c r="I88" s="353"/>
    </row>
    <row r="89" spans="5:9" ht="13.8">
      <c r="E89" s="353"/>
      <c r="F89" s="353"/>
      <c r="G89" s="353"/>
      <c r="H89" s="353"/>
      <c r="I89" s="353"/>
    </row>
    <row r="90" spans="5:9" ht="13.8">
      <c r="E90" s="353"/>
      <c r="F90" s="353"/>
      <c r="G90" s="353"/>
      <c r="H90" s="353"/>
      <c r="I90" s="353"/>
    </row>
    <row r="91" spans="5:9" ht="13.8">
      <c r="E91" s="353"/>
      <c r="F91" s="353"/>
      <c r="G91" s="353"/>
      <c r="H91" s="353"/>
      <c r="I91" s="353"/>
    </row>
    <row r="92" spans="5:9" ht="13.8">
      <c r="E92" s="353"/>
      <c r="F92" s="353"/>
      <c r="G92" s="353"/>
      <c r="H92" s="353"/>
      <c r="I92" s="353"/>
    </row>
    <row r="93" spans="5:9" ht="13.8">
      <c r="E93" s="353"/>
      <c r="F93" s="353"/>
      <c r="G93" s="353"/>
      <c r="H93" s="353"/>
      <c r="I93" s="353"/>
    </row>
    <row r="94" spans="5:9" ht="13.8">
      <c r="E94" s="353"/>
      <c r="F94" s="353"/>
      <c r="G94" s="353"/>
      <c r="H94" s="353"/>
      <c r="I94" s="353"/>
    </row>
    <row r="95" spans="5:9" ht="13.8">
      <c r="E95" s="353"/>
      <c r="F95" s="353"/>
      <c r="G95" s="353"/>
      <c r="H95" s="353"/>
      <c r="I95" s="353"/>
    </row>
    <row r="96" spans="5:9" ht="13.8">
      <c r="E96" s="353"/>
      <c r="F96" s="353"/>
      <c r="G96" s="353"/>
      <c r="H96" s="353"/>
      <c r="I96" s="353"/>
    </row>
    <row r="97" spans="5:9" ht="13.8">
      <c r="E97" s="353"/>
      <c r="F97" s="353"/>
      <c r="G97" s="353"/>
      <c r="H97" s="353"/>
      <c r="I97" s="353"/>
    </row>
    <row r="98" spans="5:9" ht="13.8">
      <c r="E98" s="353"/>
      <c r="F98" s="353"/>
      <c r="G98" s="353"/>
      <c r="H98" s="353"/>
      <c r="I98" s="353"/>
    </row>
    <row r="99" spans="5:9" ht="13.8">
      <c r="E99" s="353"/>
      <c r="F99" s="353"/>
      <c r="G99" s="353"/>
      <c r="H99" s="353"/>
      <c r="I99" s="353"/>
    </row>
    <row r="100" spans="5:9" ht="13.8">
      <c r="E100" s="353"/>
      <c r="F100" s="353"/>
      <c r="G100" s="353"/>
      <c r="H100" s="353"/>
      <c r="I100" s="353"/>
    </row>
    <row r="101" spans="5:9" ht="13.8">
      <c r="E101" s="353"/>
      <c r="F101" s="353"/>
      <c r="G101" s="353"/>
      <c r="H101" s="353"/>
      <c r="I101" s="353"/>
    </row>
    <row r="102" spans="5:9" ht="13.8">
      <c r="E102" s="353"/>
      <c r="F102" s="353"/>
      <c r="G102" s="353"/>
      <c r="H102" s="353"/>
      <c r="I102" s="353"/>
    </row>
    <row r="103" spans="5:9" ht="13.8">
      <c r="E103" s="353"/>
      <c r="F103" s="353"/>
      <c r="G103" s="353"/>
      <c r="H103" s="353"/>
      <c r="I103" s="353"/>
    </row>
    <row r="104" spans="5:9" ht="13.8">
      <c r="E104" s="353"/>
      <c r="F104" s="353"/>
      <c r="G104" s="353"/>
      <c r="H104" s="353"/>
      <c r="I104" s="353"/>
    </row>
    <row r="105" spans="5:9" ht="13.8">
      <c r="E105" s="353"/>
      <c r="F105" s="353"/>
      <c r="G105" s="353"/>
      <c r="H105" s="353"/>
      <c r="I105" s="353"/>
    </row>
    <row r="106" spans="5:9" ht="13.8">
      <c r="E106" s="353"/>
      <c r="F106" s="353"/>
      <c r="G106" s="353"/>
      <c r="H106" s="353"/>
      <c r="I106" s="353"/>
    </row>
    <row r="107" spans="5:9" ht="13.8">
      <c r="E107" s="353"/>
      <c r="F107" s="353"/>
      <c r="G107" s="353"/>
      <c r="H107" s="353"/>
      <c r="I107" s="353"/>
    </row>
    <row r="108" spans="5:9" ht="13.8">
      <c r="E108" s="353"/>
      <c r="F108" s="353"/>
      <c r="G108" s="353"/>
      <c r="H108" s="353"/>
      <c r="I108" s="353"/>
    </row>
    <row r="109" spans="5:9" ht="13.8">
      <c r="E109" s="353"/>
      <c r="F109" s="353"/>
      <c r="G109" s="353"/>
      <c r="H109" s="353"/>
      <c r="I109" s="353"/>
    </row>
    <row r="110" spans="5:9" ht="13.8">
      <c r="E110" s="353"/>
      <c r="F110" s="353"/>
      <c r="G110" s="353"/>
      <c r="H110" s="353"/>
      <c r="I110" s="353"/>
    </row>
    <row r="111" spans="5:9" ht="13.8">
      <c r="E111" s="353"/>
      <c r="F111" s="353"/>
      <c r="G111" s="353"/>
      <c r="H111" s="353"/>
      <c r="I111" s="353"/>
    </row>
    <row r="112" spans="5:9" ht="13.8">
      <c r="E112" s="353"/>
      <c r="F112" s="353"/>
      <c r="G112" s="353"/>
      <c r="H112" s="353"/>
      <c r="I112" s="353"/>
    </row>
    <row r="113" spans="5:9" ht="13.8">
      <c r="E113" s="353"/>
      <c r="F113" s="353"/>
      <c r="G113" s="353"/>
      <c r="H113" s="353"/>
      <c r="I113" s="353"/>
    </row>
    <row r="114" spans="5:9" ht="13.8">
      <c r="E114" s="353"/>
      <c r="F114" s="353"/>
      <c r="G114" s="353"/>
      <c r="H114" s="353"/>
      <c r="I114" s="353"/>
    </row>
    <row r="115" spans="5:9" ht="13.8">
      <c r="E115" s="353"/>
      <c r="F115" s="353"/>
      <c r="G115" s="353"/>
      <c r="H115" s="353"/>
      <c r="I115" s="353"/>
    </row>
    <row r="116" spans="5:9" ht="13.8">
      <c r="E116" s="353"/>
      <c r="F116" s="353"/>
      <c r="G116" s="353"/>
      <c r="H116" s="353"/>
      <c r="I116" s="353"/>
    </row>
    <row r="117" spans="5:9" ht="13.8">
      <c r="E117" s="353"/>
      <c r="F117" s="353"/>
      <c r="G117" s="353"/>
      <c r="H117" s="353"/>
      <c r="I117" s="353"/>
    </row>
    <row r="118" spans="5:9" ht="13.8">
      <c r="E118" s="353"/>
      <c r="F118" s="353"/>
      <c r="G118" s="353"/>
      <c r="H118" s="353"/>
      <c r="I118" s="353"/>
    </row>
    <row r="119" spans="5:9" ht="13.8">
      <c r="E119" s="353"/>
      <c r="F119" s="353"/>
      <c r="G119" s="353"/>
      <c r="H119" s="353"/>
      <c r="I119" s="353"/>
    </row>
    <row r="120" spans="5:9" ht="13.8">
      <c r="E120" s="353"/>
      <c r="F120" s="353"/>
      <c r="G120" s="353"/>
      <c r="H120" s="353"/>
      <c r="I120" s="353"/>
    </row>
    <row r="121" spans="5:9" ht="13.8">
      <c r="E121" s="353"/>
      <c r="F121" s="353"/>
      <c r="G121" s="353"/>
      <c r="H121" s="353"/>
      <c r="I121" s="353"/>
    </row>
    <row r="122" spans="5:9" ht="13.8">
      <c r="E122" s="353"/>
      <c r="F122" s="353"/>
      <c r="G122" s="353"/>
      <c r="H122" s="353"/>
      <c r="I122" s="353"/>
    </row>
    <row r="123" spans="5:9" ht="13.8">
      <c r="E123" s="353"/>
      <c r="F123" s="353"/>
      <c r="G123" s="353"/>
      <c r="H123" s="353"/>
      <c r="I123" s="353"/>
    </row>
    <row r="124" spans="5:9" ht="13.8">
      <c r="E124" s="353"/>
      <c r="F124" s="353"/>
      <c r="G124" s="353"/>
      <c r="H124" s="353"/>
      <c r="I124" s="353"/>
    </row>
    <row r="125" spans="5:9" ht="13.8">
      <c r="E125" s="353"/>
      <c r="F125" s="353"/>
      <c r="G125" s="353"/>
      <c r="H125" s="353"/>
      <c r="I125" s="353"/>
    </row>
    <row r="126" spans="5:9" ht="13.8"/>
    <row r="127" spans="5:9" ht="13.8"/>
    <row r="128" spans="5:9" ht="13.8"/>
    <row r="129" ht="13.8"/>
    <row r="130" ht="13.8"/>
    <row r="131" ht="13.8"/>
    <row r="132" ht="13.8"/>
    <row r="133" ht="13.8"/>
    <row r="134" ht="13.8"/>
    <row r="135" ht="13.8"/>
    <row r="136" ht="13.8"/>
    <row r="137" ht="13.8"/>
    <row r="138" ht="13.8"/>
    <row r="139" ht="13.8"/>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sheetData>
  <mergeCells count="2">
    <mergeCell ref="B32:K33"/>
    <mergeCell ref="D21:D28"/>
  </mergeCells>
  <printOptions horizontalCentered="1"/>
  <pageMargins left="0.27559055118110237" right="0.19685039370078741" top="0.43307086614173229" bottom="0.35433070866141736" header="0.23622047244094491" footer="0"/>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5E478-D5A5-4B7F-B9CB-5B0CE3997B35}">
  <sheetPr codeName="Sheet3">
    <tabColor indexed="25"/>
    <pageSetUpPr fitToPage="1"/>
  </sheetPr>
  <dimension ref="A1:BK163"/>
  <sheetViews>
    <sheetView zoomScale="85" zoomScaleNormal="85" workbookViewId="0">
      <pane xSplit="7" ySplit="5" topLeftCell="S6" activePane="bottomRight" state="frozen"/>
      <selection pane="topRight" activeCell="F1" sqref="F1"/>
      <selection pane="bottomLeft" activeCell="A6" sqref="A6"/>
      <selection pane="bottomRight" activeCell="W9" sqref="W9"/>
    </sheetView>
  </sheetViews>
  <sheetFormatPr defaultColWidth="0" defaultRowHeight="0" customHeight="1" zeroHeight="1"/>
  <cols>
    <col min="1" max="1" width="7.5546875" style="3" customWidth="1"/>
    <col min="2" max="2" width="16.6640625" style="3" customWidth="1"/>
    <col min="3" max="3" width="48.109375" style="3" customWidth="1"/>
    <col min="4" max="4" width="25.6640625" style="36" bestFit="1" customWidth="1"/>
    <col min="5" max="5" width="35.5546875" style="36" bestFit="1" customWidth="1"/>
    <col min="6" max="6" width="16.77734375" style="37" customWidth="1"/>
    <col min="7" max="7" width="16.77734375" style="14" customWidth="1"/>
    <col min="8" max="8" width="18.109375" style="14" customWidth="1"/>
    <col min="9" max="9" width="18.21875" style="4" customWidth="1"/>
    <col min="10" max="11" width="19.109375" style="37" customWidth="1"/>
    <col min="12" max="16" width="17.33203125" style="12" customWidth="1"/>
    <col min="17" max="18" width="17.77734375" style="4" customWidth="1"/>
    <col min="19" max="19" width="17.77734375" style="12" customWidth="1"/>
    <col min="20" max="20" width="21" style="143" bestFit="1" customWidth="1"/>
    <col min="21" max="21" width="17.77734375" style="12" customWidth="1"/>
    <col min="23" max="23" width="17" style="12" customWidth="1"/>
    <col min="24" max="28" width="14.109375" style="3" hidden="1" customWidth="1"/>
    <col min="29" max="63" width="14.109375" style="3" hidden="1"/>
    <col min="64" max="250" width="0" style="3" hidden="1"/>
    <col min="251" max="251" width="7.5546875" style="3" customWidth="1"/>
    <col min="252" max="252" width="36.77734375" style="3" customWidth="1"/>
    <col min="253" max="254" width="0" style="3" hidden="1"/>
    <col min="255" max="255" width="16.6640625" style="3" customWidth="1"/>
    <col min="256" max="256" width="17.33203125" style="3" customWidth="1"/>
    <col min="257" max="257" width="15.5546875" style="3" customWidth="1"/>
    <col min="258" max="258" width="0" style="3" hidden="1"/>
    <col min="259" max="259" width="16.6640625" style="3" customWidth="1"/>
    <col min="260" max="260" width="17.44140625" style="3" customWidth="1"/>
    <col min="261" max="262" width="0" style="3" hidden="1"/>
    <col min="263" max="265" width="15.33203125" style="3" customWidth="1"/>
    <col min="266" max="266" width="17" style="3" customWidth="1"/>
    <col min="267" max="267" width="0" style="3" hidden="1"/>
    <col min="268" max="269" width="15.5546875" style="3" customWidth="1"/>
    <col min="270" max="270" width="13.6640625" style="3" customWidth="1"/>
    <col min="271" max="271" width="9" style="3" customWidth="1"/>
    <col min="272" max="272" width="49.88671875" style="3" customWidth="1"/>
    <col min="273" max="273" width="0" style="3" hidden="1"/>
    <col min="274" max="275" width="15.88671875" style="3" customWidth="1"/>
    <col min="276" max="276" width="14.5546875" style="3" customWidth="1"/>
    <col min="277" max="277" width="16.33203125" style="3" customWidth="1"/>
    <col min="278" max="278" width="18.109375" style="3" customWidth="1"/>
    <col min="279" max="279" width="14.109375" style="3" customWidth="1"/>
    <col min="280" max="506" width="0" style="3" hidden="1"/>
    <col min="507" max="507" width="7.5546875" style="3" customWidth="1"/>
    <col min="508" max="508" width="36.77734375" style="3" customWidth="1"/>
    <col min="509" max="510" width="0" style="3" hidden="1"/>
    <col min="511" max="511" width="16.6640625" style="3" customWidth="1"/>
    <col min="512" max="512" width="17.33203125" style="3" customWidth="1"/>
    <col min="513" max="513" width="15.5546875" style="3" customWidth="1"/>
    <col min="514" max="514" width="0" style="3" hidden="1"/>
    <col min="515" max="515" width="16.6640625" style="3" customWidth="1"/>
    <col min="516" max="516" width="17.44140625" style="3" customWidth="1"/>
    <col min="517" max="518" width="0" style="3" hidden="1"/>
    <col min="519" max="521" width="15.33203125" style="3" customWidth="1"/>
    <col min="522" max="522" width="17" style="3" customWidth="1"/>
    <col min="523" max="523" width="0" style="3" hidden="1"/>
    <col min="524" max="525" width="15.5546875" style="3" customWidth="1"/>
    <col min="526" max="526" width="13.6640625" style="3" customWidth="1"/>
    <col min="527" max="527" width="9" style="3" customWidth="1"/>
    <col min="528" max="528" width="49.88671875" style="3" customWidth="1"/>
    <col min="529" max="529" width="0" style="3" hidden="1"/>
    <col min="530" max="531" width="15.88671875" style="3" customWidth="1"/>
    <col min="532" max="532" width="14.5546875" style="3" customWidth="1"/>
    <col min="533" max="533" width="16.33203125" style="3" customWidth="1"/>
    <col min="534" max="534" width="18.109375" style="3" customWidth="1"/>
    <col min="535" max="535" width="14.109375" style="3" customWidth="1"/>
    <col min="536" max="762" width="0" style="3" hidden="1"/>
    <col min="763" max="763" width="7.5546875" style="3" customWidth="1"/>
    <col min="764" max="764" width="36.77734375" style="3" customWidth="1"/>
    <col min="765" max="766" width="0" style="3" hidden="1"/>
    <col min="767" max="767" width="16.6640625" style="3" customWidth="1"/>
    <col min="768" max="768" width="17.33203125" style="3" customWidth="1"/>
    <col min="769" max="769" width="15.5546875" style="3" customWidth="1"/>
    <col min="770" max="770" width="0" style="3" hidden="1"/>
    <col min="771" max="771" width="16.6640625" style="3" customWidth="1"/>
    <col min="772" max="772" width="17.44140625" style="3" customWidth="1"/>
    <col min="773" max="774" width="0" style="3" hidden="1"/>
    <col min="775" max="777" width="15.33203125" style="3" customWidth="1"/>
    <col min="778" max="778" width="17" style="3" customWidth="1"/>
    <col min="779" max="779" width="0" style="3" hidden="1"/>
    <col min="780" max="781" width="15.5546875" style="3" customWidth="1"/>
    <col min="782" max="782" width="13.6640625" style="3" customWidth="1"/>
    <col min="783" max="783" width="9" style="3" customWidth="1"/>
    <col min="784" max="784" width="49.88671875" style="3" customWidth="1"/>
    <col min="785" max="785" width="0" style="3" hidden="1"/>
    <col min="786" max="787" width="15.88671875" style="3" customWidth="1"/>
    <col min="788" max="788" width="14.5546875" style="3" customWidth="1"/>
    <col min="789" max="789" width="16.33203125" style="3" customWidth="1"/>
    <col min="790" max="790" width="18.109375" style="3" customWidth="1"/>
    <col min="791" max="791" width="14.109375" style="3" customWidth="1"/>
    <col min="792" max="1018" width="0" style="3" hidden="1"/>
    <col min="1019" max="1019" width="7.5546875" style="3" customWidth="1"/>
    <col min="1020" max="1020" width="36.77734375" style="3" customWidth="1"/>
    <col min="1021" max="1022" width="0" style="3" hidden="1"/>
    <col min="1023" max="1023" width="16.6640625" style="3" customWidth="1"/>
    <col min="1024" max="1024" width="17.33203125" style="3" customWidth="1"/>
    <col min="1025" max="1025" width="15.5546875" style="3" customWidth="1"/>
    <col min="1026" max="1026" width="0" style="3" hidden="1"/>
    <col min="1027" max="1027" width="16.6640625" style="3" customWidth="1"/>
    <col min="1028" max="1028" width="17.44140625" style="3" customWidth="1"/>
    <col min="1029" max="1030" width="0" style="3" hidden="1"/>
    <col min="1031" max="1033" width="15.33203125" style="3" customWidth="1"/>
    <col min="1034" max="1034" width="17" style="3" customWidth="1"/>
    <col min="1035" max="1035" width="0" style="3" hidden="1"/>
    <col min="1036" max="1037" width="15.5546875" style="3" customWidth="1"/>
    <col min="1038" max="1038" width="13.6640625" style="3" customWidth="1"/>
    <col min="1039" max="1039" width="9" style="3" customWidth="1"/>
    <col min="1040" max="1040" width="49.88671875" style="3" customWidth="1"/>
    <col min="1041" max="1041" width="0" style="3" hidden="1"/>
    <col min="1042" max="1043" width="15.88671875" style="3" customWidth="1"/>
    <col min="1044" max="1044" width="14.5546875" style="3" customWidth="1"/>
    <col min="1045" max="1045" width="16.33203125" style="3" customWidth="1"/>
    <col min="1046" max="1046" width="18.109375" style="3" customWidth="1"/>
    <col min="1047" max="1047" width="14.109375" style="3" customWidth="1"/>
    <col min="1048" max="1274" width="0" style="3" hidden="1"/>
    <col min="1275" max="1275" width="7.5546875" style="3" customWidth="1"/>
    <col min="1276" max="1276" width="36.77734375" style="3" customWidth="1"/>
    <col min="1277" max="1278" width="0" style="3" hidden="1"/>
    <col min="1279" max="1279" width="16.6640625" style="3" customWidth="1"/>
    <col min="1280" max="1280" width="17.33203125" style="3" customWidth="1"/>
    <col min="1281" max="1281" width="15.5546875" style="3" customWidth="1"/>
    <col min="1282" max="1282" width="0" style="3" hidden="1"/>
    <col min="1283" max="1283" width="16.6640625" style="3" customWidth="1"/>
    <col min="1284" max="1284" width="17.44140625" style="3" customWidth="1"/>
    <col min="1285" max="1286" width="0" style="3" hidden="1"/>
    <col min="1287" max="1289" width="15.33203125" style="3" customWidth="1"/>
    <col min="1290" max="1290" width="17" style="3" customWidth="1"/>
    <col min="1291" max="1291" width="0" style="3" hidden="1"/>
    <col min="1292" max="1293" width="15.5546875" style="3" customWidth="1"/>
    <col min="1294" max="1294" width="13.6640625" style="3" customWidth="1"/>
    <col min="1295" max="1295" width="9" style="3" customWidth="1"/>
    <col min="1296" max="1296" width="49.88671875" style="3" customWidth="1"/>
    <col min="1297" max="1297" width="0" style="3" hidden="1"/>
    <col min="1298" max="1299" width="15.88671875" style="3" customWidth="1"/>
    <col min="1300" max="1300" width="14.5546875" style="3" customWidth="1"/>
    <col min="1301" max="1301" width="16.33203125" style="3" customWidth="1"/>
    <col min="1302" max="1302" width="18.109375" style="3" customWidth="1"/>
    <col min="1303" max="1303" width="14.109375" style="3" customWidth="1"/>
    <col min="1304" max="1530" width="0" style="3" hidden="1"/>
    <col min="1531" max="1531" width="7.5546875" style="3" customWidth="1"/>
    <col min="1532" max="1532" width="36.77734375" style="3" customWidth="1"/>
    <col min="1533" max="1534" width="0" style="3" hidden="1"/>
    <col min="1535" max="1535" width="16.6640625" style="3" customWidth="1"/>
    <col min="1536" max="1536" width="17.33203125" style="3" customWidth="1"/>
    <col min="1537" max="1537" width="15.5546875" style="3" customWidth="1"/>
    <col min="1538" max="1538" width="0" style="3" hidden="1"/>
    <col min="1539" max="1539" width="16.6640625" style="3" customWidth="1"/>
    <col min="1540" max="1540" width="17.44140625" style="3" customWidth="1"/>
    <col min="1541" max="1542" width="0" style="3" hidden="1"/>
    <col min="1543" max="1545" width="15.33203125" style="3" customWidth="1"/>
    <col min="1546" max="1546" width="17" style="3" customWidth="1"/>
    <col min="1547" max="1547" width="0" style="3" hidden="1"/>
    <col min="1548" max="1549" width="15.5546875" style="3" customWidth="1"/>
    <col min="1550" max="1550" width="13.6640625" style="3" customWidth="1"/>
    <col min="1551" max="1551" width="9" style="3" customWidth="1"/>
    <col min="1552" max="1552" width="49.88671875" style="3" customWidth="1"/>
    <col min="1553" max="1553" width="0" style="3" hidden="1"/>
    <col min="1554" max="1555" width="15.88671875" style="3" customWidth="1"/>
    <col min="1556" max="1556" width="14.5546875" style="3" customWidth="1"/>
    <col min="1557" max="1557" width="16.33203125" style="3" customWidth="1"/>
    <col min="1558" max="1558" width="18.109375" style="3" customWidth="1"/>
    <col min="1559" max="1559" width="14.109375" style="3" customWidth="1"/>
    <col min="1560" max="1786" width="0" style="3" hidden="1"/>
    <col min="1787" max="1787" width="7.5546875" style="3" customWidth="1"/>
    <col min="1788" max="1788" width="36.77734375" style="3" customWidth="1"/>
    <col min="1789" max="1790" width="0" style="3" hidden="1"/>
    <col min="1791" max="1791" width="16.6640625" style="3" customWidth="1"/>
    <col min="1792" max="1792" width="17.33203125" style="3" customWidth="1"/>
    <col min="1793" max="1793" width="15.5546875" style="3" customWidth="1"/>
    <col min="1794" max="1794" width="0" style="3" hidden="1"/>
    <col min="1795" max="1795" width="16.6640625" style="3" customWidth="1"/>
    <col min="1796" max="1796" width="17.44140625" style="3" customWidth="1"/>
    <col min="1797" max="1798" width="0" style="3" hidden="1"/>
    <col min="1799" max="1801" width="15.33203125" style="3" customWidth="1"/>
    <col min="1802" max="1802" width="17" style="3" customWidth="1"/>
    <col min="1803" max="1803" width="0" style="3" hidden="1"/>
    <col min="1804" max="1805" width="15.5546875" style="3" customWidth="1"/>
    <col min="1806" max="1806" width="13.6640625" style="3" customWidth="1"/>
    <col min="1807" max="1807" width="9" style="3" customWidth="1"/>
    <col min="1808" max="1808" width="49.88671875" style="3" customWidth="1"/>
    <col min="1809" max="1809" width="0" style="3" hidden="1"/>
    <col min="1810" max="1811" width="15.88671875" style="3" customWidth="1"/>
    <col min="1812" max="1812" width="14.5546875" style="3" customWidth="1"/>
    <col min="1813" max="1813" width="16.33203125" style="3" customWidth="1"/>
    <col min="1814" max="1814" width="18.109375" style="3" customWidth="1"/>
    <col min="1815" max="1815" width="14.109375" style="3" customWidth="1"/>
    <col min="1816" max="2042" width="0" style="3" hidden="1"/>
    <col min="2043" max="2043" width="7.5546875" style="3" customWidth="1"/>
    <col min="2044" max="2044" width="36.77734375" style="3" customWidth="1"/>
    <col min="2045" max="2046" width="0" style="3" hidden="1"/>
    <col min="2047" max="2047" width="16.6640625" style="3" customWidth="1"/>
    <col min="2048" max="2048" width="17.33203125" style="3" customWidth="1"/>
    <col min="2049" max="2049" width="15.5546875" style="3" customWidth="1"/>
    <col min="2050" max="2050" width="0" style="3" hidden="1"/>
    <col min="2051" max="2051" width="16.6640625" style="3" customWidth="1"/>
    <col min="2052" max="2052" width="17.44140625" style="3" customWidth="1"/>
    <col min="2053" max="2054" width="0" style="3" hidden="1"/>
    <col min="2055" max="2057" width="15.33203125" style="3" customWidth="1"/>
    <col min="2058" max="2058" width="17" style="3" customWidth="1"/>
    <col min="2059" max="2059" width="0" style="3" hidden="1"/>
    <col min="2060" max="2061" width="15.5546875" style="3" customWidth="1"/>
    <col min="2062" max="2062" width="13.6640625" style="3" customWidth="1"/>
    <col min="2063" max="2063" width="9" style="3" customWidth="1"/>
    <col min="2064" max="2064" width="49.88671875" style="3" customWidth="1"/>
    <col min="2065" max="2065" width="0" style="3" hidden="1"/>
    <col min="2066" max="2067" width="15.88671875" style="3" customWidth="1"/>
    <col min="2068" max="2068" width="14.5546875" style="3" customWidth="1"/>
    <col min="2069" max="2069" width="16.33203125" style="3" customWidth="1"/>
    <col min="2070" max="2070" width="18.109375" style="3" customWidth="1"/>
    <col min="2071" max="2071" width="14.109375" style="3" customWidth="1"/>
    <col min="2072" max="2298" width="0" style="3" hidden="1"/>
    <col min="2299" max="2299" width="7.5546875" style="3" customWidth="1"/>
    <col min="2300" max="2300" width="36.77734375" style="3" customWidth="1"/>
    <col min="2301" max="2302" width="0" style="3" hidden="1"/>
    <col min="2303" max="2303" width="16.6640625" style="3" customWidth="1"/>
    <col min="2304" max="2304" width="17.33203125" style="3" customWidth="1"/>
    <col min="2305" max="2305" width="15.5546875" style="3" customWidth="1"/>
    <col min="2306" max="2306" width="0" style="3" hidden="1"/>
    <col min="2307" max="2307" width="16.6640625" style="3" customWidth="1"/>
    <col min="2308" max="2308" width="17.44140625" style="3" customWidth="1"/>
    <col min="2309" max="2310" width="0" style="3" hidden="1"/>
    <col min="2311" max="2313" width="15.33203125" style="3" customWidth="1"/>
    <col min="2314" max="2314" width="17" style="3" customWidth="1"/>
    <col min="2315" max="2315" width="0" style="3" hidden="1"/>
    <col min="2316" max="2317" width="15.5546875" style="3" customWidth="1"/>
    <col min="2318" max="2318" width="13.6640625" style="3" customWidth="1"/>
    <col min="2319" max="2319" width="9" style="3" customWidth="1"/>
    <col min="2320" max="2320" width="49.88671875" style="3" customWidth="1"/>
    <col min="2321" max="2321" width="0" style="3" hidden="1"/>
    <col min="2322" max="2323" width="15.88671875" style="3" customWidth="1"/>
    <col min="2324" max="2324" width="14.5546875" style="3" customWidth="1"/>
    <col min="2325" max="2325" width="16.33203125" style="3" customWidth="1"/>
    <col min="2326" max="2326" width="18.109375" style="3" customWidth="1"/>
    <col min="2327" max="2327" width="14.109375" style="3" customWidth="1"/>
    <col min="2328" max="2554" width="0" style="3" hidden="1"/>
    <col min="2555" max="2555" width="7.5546875" style="3" customWidth="1"/>
    <col min="2556" max="2556" width="36.77734375" style="3" customWidth="1"/>
    <col min="2557" max="2558" width="0" style="3" hidden="1"/>
    <col min="2559" max="2559" width="16.6640625" style="3" customWidth="1"/>
    <col min="2560" max="2560" width="17.33203125" style="3" customWidth="1"/>
    <col min="2561" max="2561" width="15.5546875" style="3" customWidth="1"/>
    <col min="2562" max="2562" width="0" style="3" hidden="1"/>
    <col min="2563" max="2563" width="16.6640625" style="3" customWidth="1"/>
    <col min="2564" max="2564" width="17.44140625" style="3" customWidth="1"/>
    <col min="2565" max="2566" width="0" style="3" hidden="1"/>
    <col min="2567" max="2569" width="15.33203125" style="3" customWidth="1"/>
    <col min="2570" max="2570" width="17" style="3" customWidth="1"/>
    <col min="2571" max="2571" width="0" style="3" hidden="1"/>
    <col min="2572" max="2573" width="15.5546875" style="3" customWidth="1"/>
    <col min="2574" max="2574" width="13.6640625" style="3" customWidth="1"/>
    <col min="2575" max="2575" width="9" style="3" customWidth="1"/>
    <col min="2576" max="2576" width="49.88671875" style="3" customWidth="1"/>
    <col min="2577" max="2577" width="0" style="3" hidden="1"/>
    <col min="2578" max="2579" width="15.88671875" style="3" customWidth="1"/>
    <col min="2580" max="2580" width="14.5546875" style="3" customWidth="1"/>
    <col min="2581" max="2581" width="16.33203125" style="3" customWidth="1"/>
    <col min="2582" max="2582" width="18.109375" style="3" customWidth="1"/>
    <col min="2583" max="2583" width="14.109375" style="3" customWidth="1"/>
    <col min="2584" max="2810" width="0" style="3" hidden="1"/>
    <col min="2811" max="2811" width="7.5546875" style="3" customWidth="1"/>
    <col min="2812" max="2812" width="36.77734375" style="3" customWidth="1"/>
    <col min="2813" max="2814" width="0" style="3" hidden="1"/>
    <col min="2815" max="2815" width="16.6640625" style="3" customWidth="1"/>
    <col min="2816" max="2816" width="17.33203125" style="3" customWidth="1"/>
    <col min="2817" max="2817" width="15.5546875" style="3" customWidth="1"/>
    <col min="2818" max="2818" width="0" style="3" hidden="1"/>
    <col min="2819" max="2819" width="16.6640625" style="3" customWidth="1"/>
    <col min="2820" max="2820" width="17.44140625" style="3" customWidth="1"/>
    <col min="2821" max="2822" width="0" style="3" hidden="1"/>
    <col min="2823" max="2825" width="15.33203125" style="3" customWidth="1"/>
    <col min="2826" max="2826" width="17" style="3" customWidth="1"/>
    <col min="2827" max="2827" width="0" style="3" hidden="1"/>
    <col min="2828" max="2829" width="15.5546875" style="3" customWidth="1"/>
    <col min="2830" max="2830" width="13.6640625" style="3" customWidth="1"/>
    <col min="2831" max="2831" width="9" style="3" customWidth="1"/>
    <col min="2832" max="2832" width="49.88671875" style="3" customWidth="1"/>
    <col min="2833" max="2833" width="0" style="3" hidden="1"/>
    <col min="2834" max="2835" width="15.88671875" style="3" customWidth="1"/>
    <col min="2836" max="2836" width="14.5546875" style="3" customWidth="1"/>
    <col min="2837" max="2837" width="16.33203125" style="3" customWidth="1"/>
    <col min="2838" max="2838" width="18.109375" style="3" customWidth="1"/>
    <col min="2839" max="2839" width="14.109375" style="3" customWidth="1"/>
    <col min="2840" max="3066" width="0" style="3" hidden="1"/>
    <col min="3067" max="3067" width="7.5546875" style="3" customWidth="1"/>
    <col min="3068" max="3068" width="36.77734375" style="3" customWidth="1"/>
    <col min="3069" max="3070" width="0" style="3" hidden="1"/>
    <col min="3071" max="3071" width="16.6640625" style="3" customWidth="1"/>
    <col min="3072" max="3072" width="17.33203125" style="3" customWidth="1"/>
    <col min="3073" max="3073" width="15.5546875" style="3" customWidth="1"/>
    <col min="3074" max="3074" width="0" style="3" hidden="1"/>
    <col min="3075" max="3075" width="16.6640625" style="3" customWidth="1"/>
    <col min="3076" max="3076" width="17.44140625" style="3" customWidth="1"/>
    <col min="3077" max="3078" width="0" style="3" hidden="1"/>
    <col min="3079" max="3081" width="15.33203125" style="3" customWidth="1"/>
    <col min="3082" max="3082" width="17" style="3" customWidth="1"/>
    <col min="3083" max="3083" width="0" style="3" hidden="1"/>
    <col min="3084" max="3085" width="15.5546875" style="3" customWidth="1"/>
    <col min="3086" max="3086" width="13.6640625" style="3" customWidth="1"/>
    <col min="3087" max="3087" width="9" style="3" customWidth="1"/>
    <col min="3088" max="3088" width="49.88671875" style="3" customWidth="1"/>
    <col min="3089" max="3089" width="0" style="3" hidden="1"/>
    <col min="3090" max="3091" width="15.88671875" style="3" customWidth="1"/>
    <col min="3092" max="3092" width="14.5546875" style="3" customWidth="1"/>
    <col min="3093" max="3093" width="16.33203125" style="3" customWidth="1"/>
    <col min="3094" max="3094" width="18.109375" style="3" customWidth="1"/>
    <col min="3095" max="3095" width="14.109375" style="3" customWidth="1"/>
    <col min="3096" max="3322" width="0" style="3" hidden="1"/>
    <col min="3323" max="3323" width="7.5546875" style="3" customWidth="1"/>
    <col min="3324" max="3324" width="36.77734375" style="3" customWidth="1"/>
    <col min="3325" max="3326" width="0" style="3" hidden="1"/>
    <col min="3327" max="3327" width="16.6640625" style="3" customWidth="1"/>
    <col min="3328" max="3328" width="17.33203125" style="3" customWidth="1"/>
    <col min="3329" max="3329" width="15.5546875" style="3" customWidth="1"/>
    <col min="3330" max="3330" width="0" style="3" hidden="1"/>
    <col min="3331" max="3331" width="16.6640625" style="3" customWidth="1"/>
    <col min="3332" max="3332" width="17.44140625" style="3" customWidth="1"/>
    <col min="3333" max="3334" width="0" style="3" hidden="1"/>
    <col min="3335" max="3337" width="15.33203125" style="3" customWidth="1"/>
    <col min="3338" max="3338" width="17" style="3" customWidth="1"/>
    <col min="3339" max="3339" width="0" style="3" hidden="1"/>
    <col min="3340" max="3341" width="15.5546875" style="3" customWidth="1"/>
    <col min="3342" max="3342" width="13.6640625" style="3" customWidth="1"/>
    <col min="3343" max="3343" width="9" style="3" customWidth="1"/>
    <col min="3344" max="3344" width="49.88671875" style="3" customWidth="1"/>
    <col min="3345" max="3345" width="0" style="3" hidden="1"/>
    <col min="3346" max="3347" width="15.88671875" style="3" customWidth="1"/>
    <col min="3348" max="3348" width="14.5546875" style="3" customWidth="1"/>
    <col min="3349" max="3349" width="16.33203125" style="3" customWidth="1"/>
    <col min="3350" max="3350" width="18.109375" style="3" customWidth="1"/>
    <col min="3351" max="3351" width="14.109375" style="3" customWidth="1"/>
    <col min="3352" max="3578" width="0" style="3" hidden="1"/>
    <col min="3579" max="3579" width="7.5546875" style="3" customWidth="1"/>
    <col min="3580" max="3580" width="36.77734375" style="3" customWidth="1"/>
    <col min="3581" max="3582" width="0" style="3" hidden="1"/>
    <col min="3583" max="3583" width="16.6640625" style="3" customWidth="1"/>
    <col min="3584" max="3584" width="17.33203125" style="3" customWidth="1"/>
    <col min="3585" max="3585" width="15.5546875" style="3" customWidth="1"/>
    <col min="3586" max="3586" width="0" style="3" hidden="1"/>
    <col min="3587" max="3587" width="16.6640625" style="3" customWidth="1"/>
    <col min="3588" max="3588" width="17.44140625" style="3" customWidth="1"/>
    <col min="3589" max="3590" width="0" style="3" hidden="1"/>
    <col min="3591" max="3593" width="15.33203125" style="3" customWidth="1"/>
    <col min="3594" max="3594" width="17" style="3" customWidth="1"/>
    <col min="3595" max="3595" width="0" style="3" hidden="1"/>
    <col min="3596" max="3597" width="15.5546875" style="3" customWidth="1"/>
    <col min="3598" max="3598" width="13.6640625" style="3" customWidth="1"/>
    <col min="3599" max="3599" width="9" style="3" customWidth="1"/>
    <col min="3600" max="3600" width="49.88671875" style="3" customWidth="1"/>
    <col min="3601" max="3601" width="0" style="3" hidden="1"/>
    <col min="3602" max="3603" width="15.88671875" style="3" customWidth="1"/>
    <col min="3604" max="3604" width="14.5546875" style="3" customWidth="1"/>
    <col min="3605" max="3605" width="16.33203125" style="3" customWidth="1"/>
    <col min="3606" max="3606" width="18.109375" style="3" customWidth="1"/>
    <col min="3607" max="3607" width="14.109375" style="3" customWidth="1"/>
    <col min="3608" max="3834" width="0" style="3" hidden="1"/>
    <col min="3835" max="3835" width="7.5546875" style="3" customWidth="1"/>
    <col min="3836" max="3836" width="36.77734375" style="3" customWidth="1"/>
    <col min="3837" max="3838" width="0" style="3" hidden="1"/>
    <col min="3839" max="3839" width="16.6640625" style="3" customWidth="1"/>
    <col min="3840" max="3840" width="17.33203125" style="3" customWidth="1"/>
    <col min="3841" max="3841" width="15.5546875" style="3" customWidth="1"/>
    <col min="3842" max="3842" width="0" style="3" hidden="1"/>
    <col min="3843" max="3843" width="16.6640625" style="3" customWidth="1"/>
    <col min="3844" max="3844" width="17.44140625" style="3" customWidth="1"/>
    <col min="3845" max="3846" width="0" style="3" hidden="1"/>
    <col min="3847" max="3849" width="15.33203125" style="3" customWidth="1"/>
    <col min="3850" max="3850" width="17" style="3" customWidth="1"/>
    <col min="3851" max="3851" width="0" style="3" hidden="1"/>
    <col min="3852" max="3853" width="15.5546875" style="3" customWidth="1"/>
    <col min="3854" max="3854" width="13.6640625" style="3" customWidth="1"/>
    <col min="3855" max="3855" width="9" style="3" customWidth="1"/>
    <col min="3856" max="3856" width="49.88671875" style="3" customWidth="1"/>
    <col min="3857" max="3857" width="0" style="3" hidden="1"/>
    <col min="3858" max="3859" width="15.88671875" style="3" customWidth="1"/>
    <col min="3860" max="3860" width="14.5546875" style="3" customWidth="1"/>
    <col min="3861" max="3861" width="16.33203125" style="3" customWidth="1"/>
    <col min="3862" max="3862" width="18.109375" style="3" customWidth="1"/>
    <col min="3863" max="3863" width="14.109375" style="3" customWidth="1"/>
    <col min="3864" max="4090" width="0" style="3" hidden="1"/>
    <col min="4091" max="4091" width="7.5546875" style="3" customWidth="1"/>
    <col min="4092" max="4092" width="36.77734375" style="3" customWidth="1"/>
    <col min="4093" max="4094" width="0" style="3" hidden="1"/>
    <col min="4095" max="4095" width="16.6640625" style="3" customWidth="1"/>
    <col min="4096" max="4096" width="17.33203125" style="3" customWidth="1"/>
    <col min="4097" max="4097" width="15.5546875" style="3" customWidth="1"/>
    <col min="4098" max="4098" width="0" style="3" hidden="1"/>
    <col min="4099" max="4099" width="16.6640625" style="3" customWidth="1"/>
    <col min="4100" max="4100" width="17.44140625" style="3" customWidth="1"/>
    <col min="4101" max="4102" width="0" style="3" hidden="1"/>
    <col min="4103" max="4105" width="15.33203125" style="3" customWidth="1"/>
    <col min="4106" max="4106" width="17" style="3" customWidth="1"/>
    <col min="4107" max="4107" width="0" style="3" hidden="1"/>
    <col min="4108" max="4109" width="15.5546875" style="3" customWidth="1"/>
    <col min="4110" max="4110" width="13.6640625" style="3" customWidth="1"/>
    <col min="4111" max="4111" width="9" style="3" customWidth="1"/>
    <col min="4112" max="4112" width="49.88671875" style="3" customWidth="1"/>
    <col min="4113" max="4113" width="0" style="3" hidden="1"/>
    <col min="4114" max="4115" width="15.88671875" style="3" customWidth="1"/>
    <col min="4116" max="4116" width="14.5546875" style="3" customWidth="1"/>
    <col min="4117" max="4117" width="16.33203125" style="3" customWidth="1"/>
    <col min="4118" max="4118" width="18.109375" style="3" customWidth="1"/>
    <col min="4119" max="4119" width="14.109375" style="3" customWidth="1"/>
    <col min="4120" max="4346" width="0" style="3" hidden="1"/>
    <col min="4347" max="4347" width="7.5546875" style="3" customWidth="1"/>
    <col min="4348" max="4348" width="36.77734375" style="3" customWidth="1"/>
    <col min="4349" max="4350" width="0" style="3" hidden="1"/>
    <col min="4351" max="4351" width="16.6640625" style="3" customWidth="1"/>
    <col min="4352" max="4352" width="17.33203125" style="3" customWidth="1"/>
    <col min="4353" max="4353" width="15.5546875" style="3" customWidth="1"/>
    <col min="4354" max="4354" width="0" style="3" hidden="1"/>
    <col min="4355" max="4355" width="16.6640625" style="3" customWidth="1"/>
    <col min="4356" max="4356" width="17.44140625" style="3" customWidth="1"/>
    <col min="4357" max="4358" width="0" style="3" hidden="1"/>
    <col min="4359" max="4361" width="15.33203125" style="3" customWidth="1"/>
    <col min="4362" max="4362" width="17" style="3" customWidth="1"/>
    <col min="4363" max="4363" width="0" style="3" hidden="1"/>
    <col min="4364" max="4365" width="15.5546875" style="3" customWidth="1"/>
    <col min="4366" max="4366" width="13.6640625" style="3" customWidth="1"/>
    <col min="4367" max="4367" width="9" style="3" customWidth="1"/>
    <col min="4368" max="4368" width="49.88671875" style="3" customWidth="1"/>
    <col min="4369" max="4369" width="0" style="3" hidden="1"/>
    <col min="4370" max="4371" width="15.88671875" style="3" customWidth="1"/>
    <col min="4372" max="4372" width="14.5546875" style="3" customWidth="1"/>
    <col min="4373" max="4373" width="16.33203125" style="3" customWidth="1"/>
    <col min="4374" max="4374" width="18.109375" style="3" customWidth="1"/>
    <col min="4375" max="4375" width="14.109375" style="3" customWidth="1"/>
    <col min="4376" max="4602" width="0" style="3" hidden="1"/>
    <col min="4603" max="4603" width="7.5546875" style="3" customWidth="1"/>
    <col min="4604" max="4604" width="36.77734375" style="3" customWidth="1"/>
    <col min="4605" max="4606" width="0" style="3" hidden="1"/>
    <col min="4607" max="4607" width="16.6640625" style="3" customWidth="1"/>
    <col min="4608" max="4608" width="17.33203125" style="3" customWidth="1"/>
    <col min="4609" max="4609" width="15.5546875" style="3" customWidth="1"/>
    <col min="4610" max="4610" width="0" style="3" hidden="1"/>
    <col min="4611" max="4611" width="16.6640625" style="3" customWidth="1"/>
    <col min="4612" max="4612" width="17.44140625" style="3" customWidth="1"/>
    <col min="4613" max="4614" width="0" style="3" hidden="1"/>
    <col min="4615" max="4617" width="15.33203125" style="3" customWidth="1"/>
    <col min="4618" max="4618" width="17" style="3" customWidth="1"/>
    <col min="4619" max="4619" width="0" style="3" hidden="1"/>
    <col min="4620" max="4621" width="15.5546875" style="3" customWidth="1"/>
    <col min="4622" max="4622" width="13.6640625" style="3" customWidth="1"/>
    <col min="4623" max="4623" width="9" style="3" customWidth="1"/>
    <col min="4624" max="4624" width="49.88671875" style="3" customWidth="1"/>
    <col min="4625" max="4625" width="0" style="3" hidden="1"/>
    <col min="4626" max="4627" width="15.88671875" style="3" customWidth="1"/>
    <col min="4628" max="4628" width="14.5546875" style="3" customWidth="1"/>
    <col min="4629" max="4629" width="16.33203125" style="3" customWidth="1"/>
    <col min="4630" max="4630" width="18.109375" style="3" customWidth="1"/>
    <col min="4631" max="4631" width="14.109375" style="3" customWidth="1"/>
    <col min="4632" max="4858" width="0" style="3" hidden="1"/>
    <col min="4859" max="4859" width="7.5546875" style="3" customWidth="1"/>
    <col min="4860" max="4860" width="36.77734375" style="3" customWidth="1"/>
    <col min="4861" max="4862" width="0" style="3" hidden="1"/>
    <col min="4863" max="4863" width="16.6640625" style="3" customWidth="1"/>
    <col min="4864" max="4864" width="17.33203125" style="3" customWidth="1"/>
    <col min="4865" max="4865" width="15.5546875" style="3" customWidth="1"/>
    <col min="4866" max="4866" width="0" style="3" hidden="1"/>
    <col min="4867" max="4867" width="16.6640625" style="3" customWidth="1"/>
    <col min="4868" max="4868" width="17.44140625" style="3" customWidth="1"/>
    <col min="4869" max="4870" width="0" style="3" hidden="1"/>
    <col min="4871" max="4873" width="15.33203125" style="3" customWidth="1"/>
    <col min="4874" max="4874" width="17" style="3" customWidth="1"/>
    <col min="4875" max="4875" width="0" style="3" hidden="1"/>
    <col min="4876" max="4877" width="15.5546875" style="3" customWidth="1"/>
    <col min="4878" max="4878" width="13.6640625" style="3" customWidth="1"/>
    <col min="4879" max="4879" width="9" style="3" customWidth="1"/>
    <col min="4880" max="4880" width="49.88671875" style="3" customWidth="1"/>
    <col min="4881" max="4881" width="0" style="3" hidden="1"/>
    <col min="4882" max="4883" width="15.88671875" style="3" customWidth="1"/>
    <col min="4884" max="4884" width="14.5546875" style="3" customWidth="1"/>
    <col min="4885" max="4885" width="16.33203125" style="3" customWidth="1"/>
    <col min="4886" max="4886" width="18.109375" style="3" customWidth="1"/>
    <col min="4887" max="4887" width="14.109375" style="3" customWidth="1"/>
    <col min="4888" max="5114" width="0" style="3" hidden="1"/>
    <col min="5115" max="5115" width="7.5546875" style="3" customWidth="1"/>
    <col min="5116" max="5116" width="36.77734375" style="3" customWidth="1"/>
    <col min="5117" max="5118" width="0" style="3" hidden="1"/>
    <col min="5119" max="5119" width="16.6640625" style="3" customWidth="1"/>
    <col min="5120" max="5120" width="17.33203125" style="3" customWidth="1"/>
    <col min="5121" max="5121" width="15.5546875" style="3" customWidth="1"/>
    <col min="5122" max="5122" width="0" style="3" hidden="1"/>
    <col min="5123" max="5123" width="16.6640625" style="3" customWidth="1"/>
    <col min="5124" max="5124" width="17.44140625" style="3" customWidth="1"/>
    <col min="5125" max="5126" width="0" style="3" hidden="1"/>
    <col min="5127" max="5129" width="15.33203125" style="3" customWidth="1"/>
    <col min="5130" max="5130" width="17" style="3" customWidth="1"/>
    <col min="5131" max="5131" width="0" style="3" hidden="1"/>
    <col min="5132" max="5133" width="15.5546875" style="3" customWidth="1"/>
    <col min="5134" max="5134" width="13.6640625" style="3" customWidth="1"/>
    <col min="5135" max="5135" width="9" style="3" customWidth="1"/>
    <col min="5136" max="5136" width="49.88671875" style="3" customWidth="1"/>
    <col min="5137" max="5137" width="0" style="3" hidden="1"/>
    <col min="5138" max="5139" width="15.88671875" style="3" customWidth="1"/>
    <col min="5140" max="5140" width="14.5546875" style="3" customWidth="1"/>
    <col min="5141" max="5141" width="16.33203125" style="3" customWidth="1"/>
    <col min="5142" max="5142" width="18.109375" style="3" customWidth="1"/>
    <col min="5143" max="5143" width="14.109375" style="3" customWidth="1"/>
    <col min="5144" max="5370" width="0" style="3" hidden="1"/>
    <col min="5371" max="5371" width="7.5546875" style="3" customWidth="1"/>
    <col min="5372" max="5372" width="36.77734375" style="3" customWidth="1"/>
    <col min="5373" max="5374" width="0" style="3" hidden="1"/>
    <col min="5375" max="5375" width="16.6640625" style="3" customWidth="1"/>
    <col min="5376" max="5376" width="17.33203125" style="3" customWidth="1"/>
    <col min="5377" max="5377" width="15.5546875" style="3" customWidth="1"/>
    <col min="5378" max="5378" width="0" style="3" hidden="1"/>
    <col min="5379" max="5379" width="16.6640625" style="3" customWidth="1"/>
    <col min="5380" max="5380" width="17.44140625" style="3" customWidth="1"/>
    <col min="5381" max="5382" width="0" style="3" hidden="1"/>
    <col min="5383" max="5385" width="15.33203125" style="3" customWidth="1"/>
    <col min="5386" max="5386" width="17" style="3" customWidth="1"/>
    <col min="5387" max="5387" width="0" style="3" hidden="1"/>
    <col min="5388" max="5389" width="15.5546875" style="3" customWidth="1"/>
    <col min="5390" max="5390" width="13.6640625" style="3" customWidth="1"/>
    <col min="5391" max="5391" width="9" style="3" customWidth="1"/>
    <col min="5392" max="5392" width="49.88671875" style="3" customWidth="1"/>
    <col min="5393" max="5393" width="0" style="3" hidden="1"/>
    <col min="5394" max="5395" width="15.88671875" style="3" customWidth="1"/>
    <col min="5396" max="5396" width="14.5546875" style="3" customWidth="1"/>
    <col min="5397" max="5397" width="16.33203125" style="3" customWidth="1"/>
    <col min="5398" max="5398" width="18.109375" style="3" customWidth="1"/>
    <col min="5399" max="5399" width="14.109375" style="3" customWidth="1"/>
    <col min="5400" max="5626" width="0" style="3" hidden="1"/>
    <col min="5627" max="5627" width="7.5546875" style="3" customWidth="1"/>
    <col min="5628" max="5628" width="36.77734375" style="3" customWidth="1"/>
    <col min="5629" max="5630" width="0" style="3" hidden="1"/>
    <col min="5631" max="5631" width="16.6640625" style="3" customWidth="1"/>
    <col min="5632" max="5632" width="17.33203125" style="3" customWidth="1"/>
    <col min="5633" max="5633" width="15.5546875" style="3" customWidth="1"/>
    <col min="5634" max="5634" width="0" style="3" hidden="1"/>
    <col min="5635" max="5635" width="16.6640625" style="3" customWidth="1"/>
    <col min="5636" max="5636" width="17.44140625" style="3" customWidth="1"/>
    <col min="5637" max="5638" width="0" style="3" hidden="1"/>
    <col min="5639" max="5641" width="15.33203125" style="3" customWidth="1"/>
    <col min="5642" max="5642" width="17" style="3" customWidth="1"/>
    <col min="5643" max="5643" width="0" style="3" hidden="1"/>
    <col min="5644" max="5645" width="15.5546875" style="3" customWidth="1"/>
    <col min="5646" max="5646" width="13.6640625" style="3" customWidth="1"/>
    <col min="5647" max="5647" width="9" style="3" customWidth="1"/>
    <col min="5648" max="5648" width="49.88671875" style="3" customWidth="1"/>
    <col min="5649" max="5649" width="0" style="3" hidden="1"/>
    <col min="5650" max="5651" width="15.88671875" style="3" customWidth="1"/>
    <col min="5652" max="5652" width="14.5546875" style="3" customWidth="1"/>
    <col min="5653" max="5653" width="16.33203125" style="3" customWidth="1"/>
    <col min="5654" max="5654" width="18.109375" style="3" customWidth="1"/>
    <col min="5655" max="5655" width="14.109375" style="3" customWidth="1"/>
    <col min="5656" max="5882" width="0" style="3" hidden="1"/>
    <col min="5883" max="5883" width="7.5546875" style="3" customWidth="1"/>
    <col min="5884" max="5884" width="36.77734375" style="3" customWidth="1"/>
    <col min="5885" max="5886" width="0" style="3" hidden="1"/>
    <col min="5887" max="5887" width="16.6640625" style="3" customWidth="1"/>
    <col min="5888" max="5888" width="17.33203125" style="3" customWidth="1"/>
    <col min="5889" max="5889" width="15.5546875" style="3" customWidth="1"/>
    <col min="5890" max="5890" width="0" style="3" hidden="1"/>
    <col min="5891" max="5891" width="16.6640625" style="3" customWidth="1"/>
    <col min="5892" max="5892" width="17.44140625" style="3" customWidth="1"/>
    <col min="5893" max="5894" width="0" style="3" hidden="1"/>
    <col min="5895" max="5897" width="15.33203125" style="3" customWidth="1"/>
    <col min="5898" max="5898" width="17" style="3" customWidth="1"/>
    <col min="5899" max="5899" width="0" style="3" hidden="1"/>
    <col min="5900" max="5901" width="15.5546875" style="3" customWidth="1"/>
    <col min="5902" max="5902" width="13.6640625" style="3" customWidth="1"/>
    <col min="5903" max="5903" width="9" style="3" customWidth="1"/>
    <col min="5904" max="5904" width="49.88671875" style="3" customWidth="1"/>
    <col min="5905" max="5905" width="0" style="3" hidden="1"/>
    <col min="5906" max="5907" width="15.88671875" style="3" customWidth="1"/>
    <col min="5908" max="5908" width="14.5546875" style="3" customWidth="1"/>
    <col min="5909" max="5909" width="16.33203125" style="3" customWidth="1"/>
    <col min="5910" max="5910" width="18.109375" style="3" customWidth="1"/>
    <col min="5911" max="5911" width="14.109375" style="3" customWidth="1"/>
    <col min="5912" max="6138" width="0" style="3" hidden="1"/>
    <col min="6139" max="6139" width="7.5546875" style="3" customWidth="1"/>
    <col min="6140" max="6140" width="36.77734375" style="3" customWidth="1"/>
    <col min="6141" max="6142" width="0" style="3" hidden="1"/>
    <col min="6143" max="6143" width="16.6640625" style="3" customWidth="1"/>
    <col min="6144" max="6144" width="17.33203125" style="3" customWidth="1"/>
    <col min="6145" max="6145" width="15.5546875" style="3" customWidth="1"/>
    <col min="6146" max="6146" width="0" style="3" hidden="1"/>
    <col min="6147" max="6147" width="16.6640625" style="3" customWidth="1"/>
    <col min="6148" max="6148" width="17.44140625" style="3" customWidth="1"/>
    <col min="6149" max="6150" width="0" style="3" hidden="1"/>
    <col min="6151" max="6153" width="15.33203125" style="3" customWidth="1"/>
    <col min="6154" max="6154" width="17" style="3" customWidth="1"/>
    <col min="6155" max="6155" width="0" style="3" hidden="1"/>
    <col min="6156" max="6157" width="15.5546875" style="3" customWidth="1"/>
    <col min="6158" max="6158" width="13.6640625" style="3" customWidth="1"/>
    <col min="6159" max="6159" width="9" style="3" customWidth="1"/>
    <col min="6160" max="6160" width="49.88671875" style="3" customWidth="1"/>
    <col min="6161" max="6161" width="0" style="3" hidden="1"/>
    <col min="6162" max="6163" width="15.88671875" style="3" customWidth="1"/>
    <col min="6164" max="6164" width="14.5546875" style="3" customWidth="1"/>
    <col min="6165" max="6165" width="16.33203125" style="3" customWidth="1"/>
    <col min="6166" max="6166" width="18.109375" style="3" customWidth="1"/>
    <col min="6167" max="6167" width="14.109375" style="3" customWidth="1"/>
    <col min="6168" max="6394" width="0" style="3" hidden="1"/>
    <col min="6395" max="6395" width="7.5546875" style="3" customWidth="1"/>
    <col min="6396" max="6396" width="36.77734375" style="3" customWidth="1"/>
    <col min="6397" max="6398" width="0" style="3" hidden="1"/>
    <col min="6399" max="6399" width="16.6640625" style="3" customWidth="1"/>
    <col min="6400" max="6400" width="17.33203125" style="3" customWidth="1"/>
    <col min="6401" max="6401" width="15.5546875" style="3" customWidth="1"/>
    <col min="6402" max="6402" width="0" style="3" hidden="1"/>
    <col min="6403" max="6403" width="16.6640625" style="3" customWidth="1"/>
    <col min="6404" max="6404" width="17.44140625" style="3" customWidth="1"/>
    <col min="6405" max="6406" width="0" style="3" hidden="1"/>
    <col min="6407" max="6409" width="15.33203125" style="3" customWidth="1"/>
    <col min="6410" max="6410" width="17" style="3" customWidth="1"/>
    <col min="6411" max="6411" width="0" style="3" hidden="1"/>
    <col min="6412" max="6413" width="15.5546875" style="3" customWidth="1"/>
    <col min="6414" max="6414" width="13.6640625" style="3" customWidth="1"/>
    <col min="6415" max="6415" width="9" style="3" customWidth="1"/>
    <col min="6416" max="6416" width="49.88671875" style="3" customWidth="1"/>
    <col min="6417" max="6417" width="0" style="3" hidden="1"/>
    <col min="6418" max="6419" width="15.88671875" style="3" customWidth="1"/>
    <col min="6420" max="6420" width="14.5546875" style="3" customWidth="1"/>
    <col min="6421" max="6421" width="16.33203125" style="3" customWidth="1"/>
    <col min="6422" max="6422" width="18.109375" style="3" customWidth="1"/>
    <col min="6423" max="6423" width="14.109375" style="3" customWidth="1"/>
    <col min="6424" max="6650" width="0" style="3" hidden="1"/>
    <col min="6651" max="6651" width="7.5546875" style="3" customWidth="1"/>
    <col min="6652" max="6652" width="36.77734375" style="3" customWidth="1"/>
    <col min="6653" max="6654" width="0" style="3" hidden="1"/>
    <col min="6655" max="6655" width="16.6640625" style="3" customWidth="1"/>
    <col min="6656" max="6656" width="17.33203125" style="3" customWidth="1"/>
    <col min="6657" max="6657" width="15.5546875" style="3" customWidth="1"/>
    <col min="6658" max="6658" width="0" style="3" hidden="1"/>
    <col min="6659" max="6659" width="16.6640625" style="3" customWidth="1"/>
    <col min="6660" max="6660" width="17.44140625" style="3" customWidth="1"/>
    <col min="6661" max="6662" width="0" style="3" hidden="1"/>
    <col min="6663" max="6665" width="15.33203125" style="3" customWidth="1"/>
    <col min="6666" max="6666" width="17" style="3" customWidth="1"/>
    <col min="6667" max="6667" width="0" style="3" hidden="1"/>
    <col min="6668" max="6669" width="15.5546875" style="3" customWidth="1"/>
    <col min="6670" max="6670" width="13.6640625" style="3" customWidth="1"/>
    <col min="6671" max="6671" width="9" style="3" customWidth="1"/>
    <col min="6672" max="6672" width="49.88671875" style="3" customWidth="1"/>
    <col min="6673" max="6673" width="0" style="3" hidden="1"/>
    <col min="6674" max="6675" width="15.88671875" style="3" customWidth="1"/>
    <col min="6676" max="6676" width="14.5546875" style="3" customWidth="1"/>
    <col min="6677" max="6677" width="16.33203125" style="3" customWidth="1"/>
    <col min="6678" max="6678" width="18.109375" style="3" customWidth="1"/>
    <col min="6679" max="6679" width="14.109375" style="3" customWidth="1"/>
    <col min="6680" max="6906" width="0" style="3" hidden="1"/>
    <col min="6907" max="6907" width="7.5546875" style="3" customWidth="1"/>
    <col min="6908" max="6908" width="36.77734375" style="3" customWidth="1"/>
    <col min="6909" max="6910" width="0" style="3" hidden="1"/>
    <col min="6911" max="6911" width="16.6640625" style="3" customWidth="1"/>
    <col min="6912" max="6912" width="17.33203125" style="3" customWidth="1"/>
    <col min="6913" max="6913" width="15.5546875" style="3" customWidth="1"/>
    <col min="6914" max="6914" width="0" style="3" hidden="1"/>
    <col min="6915" max="6915" width="16.6640625" style="3" customWidth="1"/>
    <col min="6916" max="6916" width="17.44140625" style="3" customWidth="1"/>
    <col min="6917" max="6918" width="0" style="3" hidden="1"/>
    <col min="6919" max="6921" width="15.33203125" style="3" customWidth="1"/>
    <col min="6922" max="6922" width="17" style="3" customWidth="1"/>
    <col min="6923" max="6923" width="0" style="3" hidden="1"/>
    <col min="6924" max="6925" width="15.5546875" style="3" customWidth="1"/>
    <col min="6926" max="6926" width="13.6640625" style="3" customWidth="1"/>
    <col min="6927" max="6927" width="9" style="3" customWidth="1"/>
    <col min="6928" max="6928" width="49.88671875" style="3" customWidth="1"/>
    <col min="6929" max="6929" width="0" style="3" hidden="1"/>
    <col min="6930" max="6931" width="15.88671875" style="3" customWidth="1"/>
    <col min="6932" max="6932" width="14.5546875" style="3" customWidth="1"/>
    <col min="6933" max="6933" width="16.33203125" style="3" customWidth="1"/>
    <col min="6934" max="6934" width="18.109375" style="3" customWidth="1"/>
    <col min="6935" max="6935" width="14.109375" style="3" customWidth="1"/>
    <col min="6936" max="7162" width="0" style="3" hidden="1"/>
    <col min="7163" max="7163" width="7.5546875" style="3" customWidth="1"/>
    <col min="7164" max="7164" width="36.77734375" style="3" customWidth="1"/>
    <col min="7165" max="7166" width="0" style="3" hidden="1"/>
    <col min="7167" max="7167" width="16.6640625" style="3" customWidth="1"/>
    <col min="7168" max="7168" width="17.33203125" style="3" customWidth="1"/>
    <col min="7169" max="7169" width="15.5546875" style="3" customWidth="1"/>
    <col min="7170" max="7170" width="0" style="3" hidden="1"/>
    <col min="7171" max="7171" width="16.6640625" style="3" customWidth="1"/>
    <col min="7172" max="7172" width="17.44140625" style="3" customWidth="1"/>
    <col min="7173" max="7174" width="0" style="3" hidden="1"/>
    <col min="7175" max="7177" width="15.33203125" style="3" customWidth="1"/>
    <col min="7178" max="7178" width="17" style="3" customWidth="1"/>
    <col min="7179" max="7179" width="0" style="3" hidden="1"/>
    <col min="7180" max="7181" width="15.5546875" style="3" customWidth="1"/>
    <col min="7182" max="7182" width="13.6640625" style="3" customWidth="1"/>
    <col min="7183" max="7183" width="9" style="3" customWidth="1"/>
    <col min="7184" max="7184" width="49.88671875" style="3" customWidth="1"/>
    <col min="7185" max="7185" width="0" style="3" hidden="1"/>
    <col min="7186" max="7187" width="15.88671875" style="3" customWidth="1"/>
    <col min="7188" max="7188" width="14.5546875" style="3" customWidth="1"/>
    <col min="7189" max="7189" width="16.33203125" style="3" customWidth="1"/>
    <col min="7190" max="7190" width="18.109375" style="3" customWidth="1"/>
    <col min="7191" max="7191" width="14.109375" style="3" customWidth="1"/>
    <col min="7192" max="7418" width="0" style="3" hidden="1"/>
    <col min="7419" max="7419" width="7.5546875" style="3" customWidth="1"/>
    <col min="7420" max="7420" width="36.77734375" style="3" customWidth="1"/>
    <col min="7421" max="7422" width="0" style="3" hidden="1"/>
    <col min="7423" max="7423" width="16.6640625" style="3" customWidth="1"/>
    <col min="7424" max="7424" width="17.33203125" style="3" customWidth="1"/>
    <col min="7425" max="7425" width="15.5546875" style="3" customWidth="1"/>
    <col min="7426" max="7426" width="0" style="3" hidden="1"/>
    <col min="7427" max="7427" width="16.6640625" style="3" customWidth="1"/>
    <col min="7428" max="7428" width="17.44140625" style="3" customWidth="1"/>
    <col min="7429" max="7430" width="0" style="3" hidden="1"/>
    <col min="7431" max="7433" width="15.33203125" style="3" customWidth="1"/>
    <col min="7434" max="7434" width="17" style="3" customWidth="1"/>
    <col min="7435" max="7435" width="0" style="3" hidden="1"/>
    <col min="7436" max="7437" width="15.5546875" style="3" customWidth="1"/>
    <col min="7438" max="7438" width="13.6640625" style="3" customWidth="1"/>
    <col min="7439" max="7439" width="9" style="3" customWidth="1"/>
    <col min="7440" max="7440" width="49.88671875" style="3" customWidth="1"/>
    <col min="7441" max="7441" width="0" style="3" hidden="1"/>
    <col min="7442" max="7443" width="15.88671875" style="3" customWidth="1"/>
    <col min="7444" max="7444" width="14.5546875" style="3" customWidth="1"/>
    <col min="7445" max="7445" width="16.33203125" style="3" customWidth="1"/>
    <col min="7446" max="7446" width="18.109375" style="3" customWidth="1"/>
    <col min="7447" max="7447" width="14.109375" style="3" customWidth="1"/>
    <col min="7448" max="7674" width="0" style="3" hidden="1"/>
    <col min="7675" max="7675" width="7.5546875" style="3" customWidth="1"/>
    <col min="7676" max="7676" width="36.77734375" style="3" customWidth="1"/>
    <col min="7677" max="7678" width="0" style="3" hidden="1"/>
    <col min="7679" max="7679" width="16.6640625" style="3" customWidth="1"/>
    <col min="7680" max="7680" width="17.33203125" style="3" customWidth="1"/>
    <col min="7681" max="7681" width="15.5546875" style="3" customWidth="1"/>
    <col min="7682" max="7682" width="0" style="3" hidden="1"/>
    <col min="7683" max="7683" width="16.6640625" style="3" customWidth="1"/>
    <col min="7684" max="7684" width="17.44140625" style="3" customWidth="1"/>
    <col min="7685" max="7686" width="0" style="3" hidden="1"/>
    <col min="7687" max="7689" width="15.33203125" style="3" customWidth="1"/>
    <col min="7690" max="7690" width="17" style="3" customWidth="1"/>
    <col min="7691" max="7691" width="0" style="3" hidden="1"/>
    <col min="7692" max="7693" width="15.5546875" style="3" customWidth="1"/>
    <col min="7694" max="7694" width="13.6640625" style="3" customWidth="1"/>
    <col min="7695" max="7695" width="9" style="3" customWidth="1"/>
    <col min="7696" max="7696" width="49.88671875" style="3" customWidth="1"/>
    <col min="7697" max="7697" width="0" style="3" hidden="1"/>
    <col min="7698" max="7699" width="15.88671875" style="3" customWidth="1"/>
    <col min="7700" max="7700" width="14.5546875" style="3" customWidth="1"/>
    <col min="7701" max="7701" width="16.33203125" style="3" customWidth="1"/>
    <col min="7702" max="7702" width="18.109375" style="3" customWidth="1"/>
    <col min="7703" max="7703" width="14.109375" style="3" customWidth="1"/>
    <col min="7704" max="7930" width="0" style="3" hidden="1"/>
    <col min="7931" max="7931" width="7.5546875" style="3" customWidth="1"/>
    <col min="7932" max="7932" width="36.77734375" style="3" customWidth="1"/>
    <col min="7933" max="7934" width="0" style="3" hidden="1"/>
    <col min="7935" max="7935" width="16.6640625" style="3" customWidth="1"/>
    <col min="7936" max="7936" width="17.33203125" style="3" customWidth="1"/>
    <col min="7937" max="7937" width="15.5546875" style="3" customWidth="1"/>
    <col min="7938" max="7938" width="0" style="3" hidden="1"/>
    <col min="7939" max="7939" width="16.6640625" style="3" customWidth="1"/>
    <col min="7940" max="7940" width="17.44140625" style="3" customWidth="1"/>
    <col min="7941" max="7942" width="0" style="3" hidden="1"/>
    <col min="7943" max="7945" width="15.33203125" style="3" customWidth="1"/>
    <col min="7946" max="7946" width="17" style="3" customWidth="1"/>
    <col min="7947" max="7947" width="0" style="3" hidden="1"/>
    <col min="7948" max="7949" width="15.5546875" style="3" customWidth="1"/>
    <col min="7950" max="7950" width="13.6640625" style="3" customWidth="1"/>
    <col min="7951" max="7951" width="9" style="3" customWidth="1"/>
    <col min="7952" max="7952" width="49.88671875" style="3" customWidth="1"/>
    <col min="7953" max="7953" width="0" style="3" hidden="1"/>
    <col min="7954" max="7955" width="15.88671875" style="3" customWidth="1"/>
    <col min="7956" max="7956" width="14.5546875" style="3" customWidth="1"/>
    <col min="7957" max="7957" width="16.33203125" style="3" customWidth="1"/>
    <col min="7958" max="7958" width="18.109375" style="3" customWidth="1"/>
    <col min="7959" max="7959" width="14.109375" style="3" customWidth="1"/>
    <col min="7960" max="8186" width="0" style="3" hidden="1"/>
    <col min="8187" max="8187" width="7.5546875" style="3" customWidth="1"/>
    <col min="8188" max="8188" width="36.77734375" style="3" customWidth="1"/>
    <col min="8189" max="8190" width="0" style="3" hidden="1"/>
    <col min="8191" max="8191" width="16.6640625" style="3" customWidth="1"/>
    <col min="8192" max="8192" width="17.33203125" style="3" customWidth="1"/>
    <col min="8193" max="8193" width="15.5546875" style="3" customWidth="1"/>
    <col min="8194" max="8194" width="0" style="3" hidden="1"/>
    <col min="8195" max="8195" width="16.6640625" style="3" customWidth="1"/>
    <col min="8196" max="8196" width="17.44140625" style="3" customWidth="1"/>
    <col min="8197" max="8198" width="0" style="3" hidden="1"/>
    <col min="8199" max="8201" width="15.33203125" style="3" customWidth="1"/>
    <col min="8202" max="8202" width="17" style="3" customWidth="1"/>
    <col min="8203" max="8203" width="0" style="3" hidden="1"/>
    <col min="8204" max="8205" width="15.5546875" style="3" customWidth="1"/>
    <col min="8206" max="8206" width="13.6640625" style="3" customWidth="1"/>
    <col min="8207" max="8207" width="9" style="3" customWidth="1"/>
    <col min="8208" max="8208" width="49.88671875" style="3" customWidth="1"/>
    <col min="8209" max="8209" width="0" style="3" hidden="1"/>
    <col min="8210" max="8211" width="15.88671875" style="3" customWidth="1"/>
    <col min="8212" max="8212" width="14.5546875" style="3" customWidth="1"/>
    <col min="8213" max="8213" width="16.33203125" style="3" customWidth="1"/>
    <col min="8214" max="8214" width="18.109375" style="3" customWidth="1"/>
    <col min="8215" max="8215" width="14.109375" style="3" customWidth="1"/>
    <col min="8216" max="8442" width="0" style="3" hidden="1"/>
    <col min="8443" max="8443" width="7.5546875" style="3" customWidth="1"/>
    <col min="8444" max="8444" width="36.77734375" style="3" customWidth="1"/>
    <col min="8445" max="8446" width="0" style="3" hidden="1"/>
    <col min="8447" max="8447" width="16.6640625" style="3" customWidth="1"/>
    <col min="8448" max="8448" width="17.33203125" style="3" customWidth="1"/>
    <col min="8449" max="8449" width="15.5546875" style="3" customWidth="1"/>
    <col min="8450" max="8450" width="0" style="3" hidden="1"/>
    <col min="8451" max="8451" width="16.6640625" style="3" customWidth="1"/>
    <col min="8452" max="8452" width="17.44140625" style="3" customWidth="1"/>
    <col min="8453" max="8454" width="0" style="3" hidden="1"/>
    <col min="8455" max="8457" width="15.33203125" style="3" customWidth="1"/>
    <col min="8458" max="8458" width="17" style="3" customWidth="1"/>
    <col min="8459" max="8459" width="0" style="3" hidden="1"/>
    <col min="8460" max="8461" width="15.5546875" style="3" customWidth="1"/>
    <col min="8462" max="8462" width="13.6640625" style="3" customWidth="1"/>
    <col min="8463" max="8463" width="9" style="3" customWidth="1"/>
    <col min="8464" max="8464" width="49.88671875" style="3" customWidth="1"/>
    <col min="8465" max="8465" width="0" style="3" hidden="1"/>
    <col min="8466" max="8467" width="15.88671875" style="3" customWidth="1"/>
    <col min="8468" max="8468" width="14.5546875" style="3" customWidth="1"/>
    <col min="8469" max="8469" width="16.33203125" style="3" customWidth="1"/>
    <col min="8470" max="8470" width="18.109375" style="3" customWidth="1"/>
    <col min="8471" max="8471" width="14.109375" style="3" customWidth="1"/>
    <col min="8472" max="8698" width="0" style="3" hidden="1"/>
    <col min="8699" max="8699" width="7.5546875" style="3" customWidth="1"/>
    <col min="8700" max="8700" width="36.77734375" style="3" customWidth="1"/>
    <col min="8701" max="8702" width="0" style="3" hidden="1"/>
    <col min="8703" max="8703" width="16.6640625" style="3" customWidth="1"/>
    <col min="8704" max="8704" width="17.33203125" style="3" customWidth="1"/>
    <col min="8705" max="8705" width="15.5546875" style="3" customWidth="1"/>
    <col min="8706" max="8706" width="0" style="3" hidden="1"/>
    <col min="8707" max="8707" width="16.6640625" style="3" customWidth="1"/>
    <col min="8708" max="8708" width="17.44140625" style="3" customWidth="1"/>
    <col min="8709" max="8710" width="0" style="3" hidden="1"/>
    <col min="8711" max="8713" width="15.33203125" style="3" customWidth="1"/>
    <col min="8714" max="8714" width="17" style="3" customWidth="1"/>
    <col min="8715" max="8715" width="0" style="3" hidden="1"/>
    <col min="8716" max="8717" width="15.5546875" style="3" customWidth="1"/>
    <col min="8718" max="8718" width="13.6640625" style="3" customWidth="1"/>
    <col min="8719" max="8719" width="9" style="3" customWidth="1"/>
    <col min="8720" max="8720" width="49.88671875" style="3" customWidth="1"/>
    <col min="8721" max="8721" width="0" style="3" hidden="1"/>
    <col min="8722" max="8723" width="15.88671875" style="3" customWidth="1"/>
    <col min="8724" max="8724" width="14.5546875" style="3" customWidth="1"/>
    <col min="8725" max="8725" width="16.33203125" style="3" customWidth="1"/>
    <col min="8726" max="8726" width="18.109375" style="3" customWidth="1"/>
    <col min="8727" max="8727" width="14.109375" style="3" customWidth="1"/>
    <col min="8728" max="8954" width="0" style="3" hidden="1"/>
    <col min="8955" max="8955" width="7.5546875" style="3" customWidth="1"/>
    <col min="8956" max="8956" width="36.77734375" style="3" customWidth="1"/>
    <col min="8957" max="8958" width="0" style="3" hidden="1"/>
    <col min="8959" max="8959" width="16.6640625" style="3" customWidth="1"/>
    <col min="8960" max="8960" width="17.33203125" style="3" customWidth="1"/>
    <col min="8961" max="8961" width="15.5546875" style="3" customWidth="1"/>
    <col min="8962" max="8962" width="0" style="3" hidden="1"/>
    <col min="8963" max="8963" width="16.6640625" style="3" customWidth="1"/>
    <col min="8964" max="8964" width="17.44140625" style="3" customWidth="1"/>
    <col min="8965" max="8966" width="0" style="3" hidden="1"/>
    <col min="8967" max="8969" width="15.33203125" style="3" customWidth="1"/>
    <col min="8970" max="8970" width="17" style="3" customWidth="1"/>
    <col min="8971" max="8971" width="0" style="3" hidden="1"/>
    <col min="8972" max="8973" width="15.5546875" style="3" customWidth="1"/>
    <col min="8974" max="8974" width="13.6640625" style="3" customWidth="1"/>
    <col min="8975" max="8975" width="9" style="3" customWidth="1"/>
    <col min="8976" max="8976" width="49.88671875" style="3" customWidth="1"/>
    <col min="8977" max="8977" width="0" style="3" hidden="1"/>
    <col min="8978" max="8979" width="15.88671875" style="3" customWidth="1"/>
    <col min="8980" max="8980" width="14.5546875" style="3" customWidth="1"/>
    <col min="8981" max="8981" width="16.33203125" style="3" customWidth="1"/>
    <col min="8982" max="8982" width="18.109375" style="3" customWidth="1"/>
    <col min="8983" max="8983" width="14.109375" style="3" customWidth="1"/>
    <col min="8984" max="9210" width="0" style="3" hidden="1"/>
    <col min="9211" max="9211" width="7.5546875" style="3" customWidth="1"/>
    <col min="9212" max="9212" width="36.77734375" style="3" customWidth="1"/>
    <col min="9213" max="9214" width="0" style="3" hidden="1"/>
    <col min="9215" max="9215" width="16.6640625" style="3" customWidth="1"/>
    <col min="9216" max="9216" width="17.33203125" style="3" customWidth="1"/>
    <col min="9217" max="9217" width="15.5546875" style="3" customWidth="1"/>
    <col min="9218" max="9218" width="0" style="3" hidden="1"/>
    <col min="9219" max="9219" width="16.6640625" style="3" customWidth="1"/>
    <col min="9220" max="9220" width="17.44140625" style="3" customWidth="1"/>
    <col min="9221" max="9222" width="0" style="3" hidden="1"/>
    <col min="9223" max="9225" width="15.33203125" style="3" customWidth="1"/>
    <col min="9226" max="9226" width="17" style="3" customWidth="1"/>
    <col min="9227" max="9227" width="0" style="3" hidden="1"/>
    <col min="9228" max="9229" width="15.5546875" style="3" customWidth="1"/>
    <col min="9230" max="9230" width="13.6640625" style="3" customWidth="1"/>
    <col min="9231" max="9231" width="9" style="3" customWidth="1"/>
    <col min="9232" max="9232" width="49.88671875" style="3" customWidth="1"/>
    <col min="9233" max="9233" width="0" style="3" hidden="1"/>
    <col min="9234" max="9235" width="15.88671875" style="3" customWidth="1"/>
    <col min="9236" max="9236" width="14.5546875" style="3" customWidth="1"/>
    <col min="9237" max="9237" width="16.33203125" style="3" customWidth="1"/>
    <col min="9238" max="9238" width="18.109375" style="3" customWidth="1"/>
    <col min="9239" max="9239" width="14.109375" style="3" customWidth="1"/>
    <col min="9240" max="9466" width="0" style="3" hidden="1"/>
    <col min="9467" max="9467" width="7.5546875" style="3" customWidth="1"/>
    <col min="9468" max="9468" width="36.77734375" style="3" customWidth="1"/>
    <col min="9469" max="9470" width="0" style="3" hidden="1"/>
    <col min="9471" max="9471" width="16.6640625" style="3" customWidth="1"/>
    <col min="9472" max="9472" width="17.33203125" style="3" customWidth="1"/>
    <col min="9473" max="9473" width="15.5546875" style="3" customWidth="1"/>
    <col min="9474" max="9474" width="0" style="3" hidden="1"/>
    <col min="9475" max="9475" width="16.6640625" style="3" customWidth="1"/>
    <col min="9476" max="9476" width="17.44140625" style="3" customWidth="1"/>
    <col min="9477" max="9478" width="0" style="3" hidden="1"/>
    <col min="9479" max="9481" width="15.33203125" style="3" customWidth="1"/>
    <col min="9482" max="9482" width="17" style="3" customWidth="1"/>
    <col min="9483" max="9483" width="0" style="3" hidden="1"/>
    <col min="9484" max="9485" width="15.5546875" style="3" customWidth="1"/>
    <col min="9486" max="9486" width="13.6640625" style="3" customWidth="1"/>
    <col min="9487" max="9487" width="9" style="3" customWidth="1"/>
    <col min="9488" max="9488" width="49.88671875" style="3" customWidth="1"/>
    <col min="9489" max="9489" width="0" style="3" hidden="1"/>
    <col min="9490" max="9491" width="15.88671875" style="3" customWidth="1"/>
    <col min="9492" max="9492" width="14.5546875" style="3" customWidth="1"/>
    <col min="9493" max="9493" width="16.33203125" style="3" customWidth="1"/>
    <col min="9494" max="9494" width="18.109375" style="3" customWidth="1"/>
    <col min="9495" max="9495" width="14.109375" style="3" customWidth="1"/>
    <col min="9496" max="9722" width="0" style="3" hidden="1"/>
    <col min="9723" max="9723" width="7.5546875" style="3" customWidth="1"/>
    <col min="9724" max="9724" width="36.77734375" style="3" customWidth="1"/>
    <col min="9725" max="9726" width="0" style="3" hidden="1"/>
    <col min="9727" max="9727" width="16.6640625" style="3" customWidth="1"/>
    <col min="9728" max="9728" width="17.33203125" style="3" customWidth="1"/>
    <col min="9729" max="9729" width="15.5546875" style="3" customWidth="1"/>
    <col min="9730" max="9730" width="0" style="3" hidden="1"/>
    <col min="9731" max="9731" width="16.6640625" style="3" customWidth="1"/>
    <col min="9732" max="9732" width="17.44140625" style="3" customWidth="1"/>
    <col min="9733" max="9734" width="0" style="3" hidden="1"/>
    <col min="9735" max="9737" width="15.33203125" style="3" customWidth="1"/>
    <col min="9738" max="9738" width="17" style="3" customWidth="1"/>
    <col min="9739" max="9739" width="0" style="3" hidden="1"/>
    <col min="9740" max="9741" width="15.5546875" style="3" customWidth="1"/>
    <col min="9742" max="9742" width="13.6640625" style="3" customWidth="1"/>
    <col min="9743" max="9743" width="9" style="3" customWidth="1"/>
    <col min="9744" max="9744" width="49.88671875" style="3" customWidth="1"/>
    <col min="9745" max="9745" width="0" style="3" hidden="1"/>
    <col min="9746" max="9747" width="15.88671875" style="3" customWidth="1"/>
    <col min="9748" max="9748" width="14.5546875" style="3" customWidth="1"/>
    <col min="9749" max="9749" width="16.33203125" style="3" customWidth="1"/>
    <col min="9750" max="9750" width="18.109375" style="3" customWidth="1"/>
    <col min="9751" max="9751" width="14.109375" style="3" customWidth="1"/>
    <col min="9752" max="9978" width="0" style="3" hidden="1"/>
    <col min="9979" max="9979" width="7.5546875" style="3" customWidth="1"/>
    <col min="9980" max="9980" width="36.77734375" style="3" customWidth="1"/>
    <col min="9981" max="9982" width="0" style="3" hidden="1"/>
    <col min="9983" max="9983" width="16.6640625" style="3" customWidth="1"/>
    <col min="9984" max="9984" width="17.33203125" style="3" customWidth="1"/>
    <col min="9985" max="9985" width="15.5546875" style="3" customWidth="1"/>
    <col min="9986" max="9986" width="0" style="3" hidden="1"/>
    <col min="9987" max="9987" width="16.6640625" style="3" customWidth="1"/>
    <col min="9988" max="9988" width="17.44140625" style="3" customWidth="1"/>
    <col min="9989" max="9990" width="0" style="3" hidden="1"/>
    <col min="9991" max="9993" width="15.33203125" style="3" customWidth="1"/>
    <col min="9994" max="9994" width="17" style="3" customWidth="1"/>
    <col min="9995" max="9995" width="0" style="3" hidden="1"/>
    <col min="9996" max="9997" width="15.5546875" style="3" customWidth="1"/>
    <col min="9998" max="9998" width="13.6640625" style="3" customWidth="1"/>
    <col min="9999" max="9999" width="9" style="3" customWidth="1"/>
    <col min="10000" max="10000" width="49.88671875" style="3" customWidth="1"/>
    <col min="10001" max="10001" width="0" style="3" hidden="1"/>
    <col min="10002" max="10003" width="15.88671875" style="3" customWidth="1"/>
    <col min="10004" max="10004" width="14.5546875" style="3" customWidth="1"/>
    <col min="10005" max="10005" width="16.33203125" style="3" customWidth="1"/>
    <col min="10006" max="10006" width="18.109375" style="3" customWidth="1"/>
    <col min="10007" max="10007" width="14.109375" style="3" customWidth="1"/>
    <col min="10008" max="10234" width="0" style="3" hidden="1"/>
    <col min="10235" max="10235" width="7.5546875" style="3" customWidth="1"/>
    <col min="10236" max="10236" width="36.77734375" style="3" customWidth="1"/>
    <col min="10237" max="10238" width="0" style="3" hidden="1"/>
    <col min="10239" max="10239" width="16.6640625" style="3" customWidth="1"/>
    <col min="10240" max="10240" width="17.33203125" style="3" customWidth="1"/>
    <col min="10241" max="10241" width="15.5546875" style="3" customWidth="1"/>
    <col min="10242" max="10242" width="0" style="3" hidden="1"/>
    <col min="10243" max="10243" width="16.6640625" style="3" customWidth="1"/>
    <col min="10244" max="10244" width="17.44140625" style="3" customWidth="1"/>
    <col min="10245" max="10246" width="0" style="3" hidden="1"/>
    <col min="10247" max="10249" width="15.33203125" style="3" customWidth="1"/>
    <col min="10250" max="10250" width="17" style="3" customWidth="1"/>
    <col min="10251" max="10251" width="0" style="3" hidden="1"/>
    <col min="10252" max="10253" width="15.5546875" style="3" customWidth="1"/>
    <col min="10254" max="10254" width="13.6640625" style="3" customWidth="1"/>
    <col min="10255" max="10255" width="9" style="3" customWidth="1"/>
    <col min="10256" max="10256" width="49.88671875" style="3" customWidth="1"/>
    <col min="10257" max="10257" width="0" style="3" hidden="1"/>
    <col min="10258" max="10259" width="15.88671875" style="3" customWidth="1"/>
    <col min="10260" max="10260" width="14.5546875" style="3" customWidth="1"/>
    <col min="10261" max="10261" width="16.33203125" style="3" customWidth="1"/>
    <col min="10262" max="10262" width="18.109375" style="3" customWidth="1"/>
    <col min="10263" max="10263" width="14.109375" style="3" customWidth="1"/>
    <col min="10264" max="10490" width="0" style="3" hidden="1"/>
    <col min="10491" max="10491" width="7.5546875" style="3" customWidth="1"/>
    <col min="10492" max="10492" width="36.77734375" style="3" customWidth="1"/>
    <col min="10493" max="10494" width="0" style="3" hidden="1"/>
    <col min="10495" max="10495" width="16.6640625" style="3" customWidth="1"/>
    <col min="10496" max="10496" width="17.33203125" style="3" customWidth="1"/>
    <col min="10497" max="10497" width="15.5546875" style="3" customWidth="1"/>
    <col min="10498" max="10498" width="0" style="3" hidden="1"/>
    <col min="10499" max="10499" width="16.6640625" style="3" customWidth="1"/>
    <col min="10500" max="10500" width="17.44140625" style="3" customWidth="1"/>
    <col min="10501" max="10502" width="0" style="3" hidden="1"/>
    <col min="10503" max="10505" width="15.33203125" style="3" customWidth="1"/>
    <col min="10506" max="10506" width="17" style="3" customWidth="1"/>
    <col min="10507" max="10507" width="0" style="3" hidden="1"/>
    <col min="10508" max="10509" width="15.5546875" style="3" customWidth="1"/>
    <col min="10510" max="10510" width="13.6640625" style="3" customWidth="1"/>
    <col min="10511" max="10511" width="9" style="3" customWidth="1"/>
    <col min="10512" max="10512" width="49.88671875" style="3" customWidth="1"/>
    <col min="10513" max="10513" width="0" style="3" hidden="1"/>
    <col min="10514" max="10515" width="15.88671875" style="3" customWidth="1"/>
    <col min="10516" max="10516" width="14.5546875" style="3" customWidth="1"/>
    <col min="10517" max="10517" width="16.33203125" style="3" customWidth="1"/>
    <col min="10518" max="10518" width="18.109375" style="3" customWidth="1"/>
    <col min="10519" max="10519" width="14.109375" style="3" customWidth="1"/>
    <col min="10520" max="10746" width="0" style="3" hidden="1"/>
    <col min="10747" max="10747" width="7.5546875" style="3" customWidth="1"/>
    <col min="10748" max="10748" width="36.77734375" style="3" customWidth="1"/>
    <col min="10749" max="10750" width="0" style="3" hidden="1"/>
    <col min="10751" max="10751" width="16.6640625" style="3" customWidth="1"/>
    <col min="10752" max="10752" width="17.33203125" style="3" customWidth="1"/>
    <col min="10753" max="10753" width="15.5546875" style="3" customWidth="1"/>
    <col min="10754" max="10754" width="0" style="3" hidden="1"/>
    <col min="10755" max="10755" width="16.6640625" style="3" customWidth="1"/>
    <col min="10756" max="10756" width="17.44140625" style="3" customWidth="1"/>
    <col min="10757" max="10758" width="0" style="3" hidden="1"/>
    <col min="10759" max="10761" width="15.33203125" style="3" customWidth="1"/>
    <col min="10762" max="10762" width="17" style="3" customWidth="1"/>
    <col min="10763" max="10763" width="0" style="3" hidden="1"/>
    <col min="10764" max="10765" width="15.5546875" style="3" customWidth="1"/>
    <col min="10766" max="10766" width="13.6640625" style="3" customWidth="1"/>
    <col min="10767" max="10767" width="9" style="3" customWidth="1"/>
    <col min="10768" max="10768" width="49.88671875" style="3" customWidth="1"/>
    <col min="10769" max="10769" width="0" style="3" hidden="1"/>
    <col min="10770" max="10771" width="15.88671875" style="3" customWidth="1"/>
    <col min="10772" max="10772" width="14.5546875" style="3" customWidth="1"/>
    <col min="10773" max="10773" width="16.33203125" style="3" customWidth="1"/>
    <col min="10774" max="10774" width="18.109375" style="3" customWidth="1"/>
    <col min="10775" max="10775" width="14.109375" style="3" customWidth="1"/>
    <col min="10776" max="11002" width="0" style="3" hidden="1"/>
    <col min="11003" max="11003" width="7.5546875" style="3" customWidth="1"/>
    <col min="11004" max="11004" width="36.77734375" style="3" customWidth="1"/>
    <col min="11005" max="11006" width="0" style="3" hidden="1"/>
    <col min="11007" max="11007" width="16.6640625" style="3" customWidth="1"/>
    <col min="11008" max="11008" width="17.33203125" style="3" customWidth="1"/>
    <col min="11009" max="11009" width="15.5546875" style="3" customWidth="1"/>
    <col min="11010" max="11010" width="0" style="3" hidden="1"/>
    <col min="11011" max="11011" width="16.6640625" style="3" customWidth="1"/>
    <col min="11012" max="11012" width="17.44140625" style="3" customWidth="1"/>
    <col min="11013" max="11014" width="0" style="3" hidden="1"/>
    <col min="11015" max="11017" width="15.33203125" style="3" customWidth="1"/>
    <col min="11018" max="11018" width="17" style="3" customWidth="1"/>
    <col min="11019" max="11019" width="0" style="3" hidden="1"/>
    <col min="11020" max="11021" width="15.5546875" style="3" customWidth="1"/>
    <col min="11022" max="11022" width="13.6640625" style="3" customWidth="1"/>
    <col min="11023" max="11023" width="9" style="3" customWidth="1"/>
    <col min="11024" max="11024" width="49.88671875" style="3" customWidth="1"/>
    <col min="11025" max="11025" width="0" style="3" hidden="1"/>
    <col min="11026" max="11027" width="15.88671875" style="3" customWidth="1"/>
    <col min="11028" max="11028" width="14.5546875" style="3" customWidth="1"/>
    <col min="11029" max="11029" width="16.33203125" style="3" customWidth="1"/>
    <col min="11030" max="11030" width="18.109375" style="3" customWidth="1"/>
    <col min="11031" max="11031" width="14.109375" style="3" customWidth="1"/>
    <col min="11032" max="11258" width="0" style="3" hidden="1"/>
    <col min="11259" max="11259" width="7.5546875" style="3" customWidth="1"/>
    <col min="11260" max="11260" width="36.77734375" style="3" customWidth="1"/>
    <col min="11261" max="11262" width="0" style="3" hidden="1"/>
    <col min="11263" max="11263" width="16.6640625" style="3" customWidth="1"/>
    <col min="11264" max="11264" width="17.33203125" style="3" customWidth="1"/>
    <col min="11265" max="11265" width="15.5546875" style="3" customWidth="1"/>
    <col min="11266" max="11266" width="0" style="3" hidden="1"/>
    <col min="11267" max="11267" width="16.6640625" style="3" customWidth="1"/>
    <col min="11268" max="11268" width="17.44140625" style="3" customWidth="1"/>
    <col min="11269" max="11270" width="0" style="3" hidden="1"/>
    <col min="11271" max="11273" width="15.33203125" style="3" customWidth="1"/>
    <col min="11274" max="11274" width="17" style="3" customWidth="1"/>
    <col min="11275" max="11275" width="0" style="3" hidden="1"/>
    <col min="11276" max="11277" width="15.5546875" style="3" customWidth="1"/>
    <col min="11278" max="11278" width="13.6640625" style="3" customWidth="1"/>
    <col min="11279" max="11279" width="9" style="3" customWidth="1"/>
    <col min="11280" max="11280" width="49.88671875" style="3" customWidth="1"/>
    <col min="11281" max="11281" width="0" style="3" hidden="1"/>
    <col min="11282" max="11283" width="15.88671875" style="3" customWidth="1"/>
    <col min="11284" max="11284" width="14.5546875" style="3" customWidth="1"/>
    <col min="11285" max="11285" width="16.33203125" style="3" customWidth="1"/>
    <col min="11286" max="11286" width="18.109375" style="3" customWidth="1"/>
    <col min="11287" max="11287" width="14.109375" style="3" customWidth="1"/>
    <col min="11288" max="11514" width="0" style="3" hidden="1"/>
    <col min="11515" max="11515" width="7.5546875" style="3" customWidth="1"/>
    <col min="11516" max="11516" width="36.77734375" style="3" customWidth="1"/>
    <col min="11517" max="11518" width="0" style="3" hidden="1"/>
    <col min="11519" max="11519" width="16.6640625" style="3" customWidth="1"/>
    <col min="11520" max="11520" width="17.33203125" style="3" customWidth="1"/>
    <col min="11521" max="11521" width="15.5546875" style="3" customWidth="1"/>
    <col min="11522" max="11522" width="0" style="3" hidden="1"/>
    <col min="11523" max="11523" width="16.6640625" style="3" customWidth="1"/>
    <col min="11524" max="11524" width="17.44140625" style="3" customWidth="1"/>
    <col min="11525" max="11526" width="0" style="3" hidden="1"/>
    <col min="11527" max="11529" width="15.33203125" style="3" customWidth="1"/>
    <col min="11530" max="11530" width="17" style="3" customWidth="1"/>
    <col min="11531" max="11531" width="0" style="3" hidden="1"/>
    <col min="11532" max="11533" width="15.5546875" style="3" customWidth="1"/>
    <col min="11534" max="11534" width="13.6640625" style="3" customWidth="1"/>
    <col min="11535" max="11535" width="9" style="3" customWidth="1"/>
    <col min="11536" max="11536" width="49.88671875" style="3" customWidth="1"/>
    <col min="11537" max="11537" width="0" style="3" hidden="1"/>
    <col min="11538" max="11539" width="15.88671875" style="3" customWidth="1"/>
    <col min="11540" max="11540" width="14.5546875" style="3" customWidth="1"/>
    <col min="11541" max="11541" width="16.33203125" style="3" customWidth="1"/>
    <col min="11542" max="11542" width="18.109375" style="3" customWidth="1"/>
    <col min="11543" max="11543" width="14.109375" style="3" customWidth="1"/>
    <col min="11544" max="11770" width="0" style="3" hidden="1"/>
    <col min="11771" max="11771" width="7.5546875" style="3" customWidth="1"/>
    <col min="11772" max="11772" width="36.77734375" style="3" customWidth="1"/>
    <col min="11773" max="11774" width="0" style="3" hidden="1"/>
    <col min="11775" max="11775" width="16.6640625" style="3" customWidth="1"/>
    <col min="11776" max="11776" width="17.33203125" style="3" customWidth="1"/>
    <col min="11777" max="11777" width="15.5546875" style="3" customWidth="1"/>
    <col min="11778" max="11778" width="0" style="3" hidden="1"/>
    <col min="11779" max="11779" width="16.6640625" style="3" customWidth="1"/>
    <col min="11780" max="11780" width="17.44140625" style="3" customWidth="1"/>
    <col min="11781" max="11782" width="0" style="3" hidden="1"/>
    <col min="11783" max="11785" width="15.33203125" style="3" customWidth="1"/>
    <col min="11786" max="11786" width="17" style="3" customWidth="1"/>
    <col min="11787" max="11787" width="0" style="3" hidden="1"/>
    <col min="11788" max="11789" width="15.5546875" style="3" customWidth="1"/>
    <col min="11790" max="11790" width="13.6640625" style="3" customWidth="1"/>
    <col min="11791" max="11791" width="9" style="3" customWidth="1"/>
    <col min="11792" max="11792" width="49.88671875" style="3" customWidth="1"/>
    <col min="11793" max="11793" width="0" style="3" hidden="1"/>
    <col min="11794" max="11795" width="15.88671875" style="3" customWidth="1"/>
    <col min="11796" max="11796" width="14.5546875" style="3" customWidth="1"/>
    <col min="11797" max="11797" width="16.33203125" style="3" customWidth="1"/>
    <col min="11798" max="11798" width="18.109375" style="3" customWidth="1"/>
    <col min="11799" max="11799" width="14.109375" style="3" customWidth="1"/>
    <col min="11800" max="12026" width="0" style="3" hidden="1"/>
    <col min="12027" max="12027" width="7.5546875" style="3" customWidth="1"/>
    <col min="12028" max="12028" width="36.77734375" style="3" customWidth="1"/>
    <col min="12029" max="12030" width="0" style="3" hidden="1"/>
    <col min="12031" max="12031" width="16.6640625" style="3" customWidth="1"/>
    <col min="12032" max="12032" width="17.33203125" style="3" customWidth="1"/>
    <col min="12033" max="12033" width="15.5546875" style="3" customWidth="1"/>
    <col min="12034" max="12034" width="0" style="3" hidden="1"/>
    <col min="12035" max="12035" width="16.6640625" style="3" customWidth="1"/>
    <col min="12036" max="12036" width="17.44140625" style="3" customWidth="1"/>
    <col min="12037" max="12038" width="0" style="3" hidden="1"/>
    <col min="12039" max="12041" width="15.33203125" style="3" customWidth="1"/>
    <col min="12042" max="12042" width="17" style="3" customWidth="1"/>
    <col min="12043" max="12043" width="0" style="3" hidden="1"/>
    <col min="12044" max="12045" width="15.5546875" style="3" customWidth="1"/>
    <col min="12046" max="12046" width="13.6640625" style="3" customWidth="1"/>
    <col min="12047" max="12047" width="9" style="3" customWidth="1"/>
    <col min="12048" max="12048" width="49.88671875" style="3" customWidth="1"/>
    <col min="12049" max="12049" width="0" style="3" hidden="1"/>
    <col min="12050" max="12051" width="15.88671875" style="3" customWidth="1"/>
    <col min="12052" max="12052" width="14.5546875" style="3" customWidth="1"/>
    <col min="12053" max="12053" width="16.33203125" style="3" customWidth="1"/>
    <col min="12054" max="12054" width="18.109375" style="3" customWidth="1"/>
    <col min="12055" max="12055" width="14.109375" style="3" customWidth="1"/>
    <col min="12056" max="12282" width="0" style="3" hidden="1"/>
    <col min="12283" max="12283" width="7.5546875" style="3" customWidth="1"/>
    <col min="12284" max="12284" width="36.77734375" style="3" customWidth="1"/>
    <col min="12285" max="12286" width="0" style="3" hidden="1"/>
    <col min="12287" max="12287" width="16.6640625" style="3" customWidth="1"/>
    <col min="12288" max="12288" width="17.33203125" style="3" customWidth="1"/>
    <col min="12289" max="12289" width="15.5546875" style="3" customWidth="1"/>
    <col min="12290" max="12290" width="0" style="3" hidden="1"/>
    <col min="12291" max="12291" width="16.6640625" style="3" customWidth="1"/>
    <col min="12292" max="12292" width="17.44140625" style="3" customWidth="1"/>
    <col min="12293" max="12294" width="0" style="3" hidden="1"/>
    <col min="12295" max="12297" width="15.33203125" style="3" customWidth="1"/>
    <col min="12298" max="12298" width="17" style="3" customWidth="1"/>
    <col min="12299" max="12299" width="0" style="3" hidden="1"/>
    <col min="12300" max="12301" width="15.5546875" style="3" customWidth="1"/>
    <col min="12302" max="12302" width="13.6640625" style="3" customWidth="1"/>
    <col min="12303" max="12303" width="9" style="3" customWidth="1"/>
    <col min="12304" max="12304" width="49.88671875" style="3" customWidth="1"/>
    <col min="12305" max="12305" width="0" style="3" hidden="1"/>
    <col min="12306" max="12307" width="15.88671875" style="3" customWidth="1"/>
    <col min="12308" max="12308" width="14.5546875" style="3" customWidth="1"/>
    <col min="12309" max="12309" width="16.33203125" style="3" customWidth="1"/>
    <col min="12310" max="12310" width="18.109375" style="3" customWidth="1"/>
    <col min="12311" max="12311" width="14.109375" style="3" customWidth="1"/>
    <col min="12312" max="12538" width="0" style="3" hidden="1"/>
    <col min="12539" max="12539" width="7.5546875" style="3" customWidth="1"/>
    <col min="12540" max="12540" width="36.77734375" style="3" customWidth="1"/>
    <col min="12541" max="12542" width="0" style="3" hidden="1"/>
    <col min="12543" max="12543" width="16.6640625" style="3" customWidth="1"/>
    <col min="12544" max="12544" width="17.33203125" style="3" customWidth="1"/>
    <col min="12545" max="12545" width="15.5546875" style="3" customWidth="1"/>
    <col min="12546" max="12546" width="0" style="3" hidden="1"/>
    <col min="12547" max="12547" width="16.6640625" style="3" customWidth="1"/>
    <col min="12548" max="12548" width="17.44140625" style="3" customWidth="1"/>
    <col min="12549" max="12550" width="0" style="3" hidden="1"/>
    <col min="12551" max="12553" width="15.33203125" style="3" customWidth="1"/>
    <col min="12554" max="12554" width="17" style="3" customWidth="1"/>
    <col min="12555" max="12555" width="0" style="3" hidden="1"/>
    <col min="12556" max="12557" width="15.5546875" style="3" customWidth="1"/>
    <col min="12558" max="12558" width="13.6640625" style="3" customWidth="1"/>
    <col min="12559" max="12559" width="9" style="3" customWidth="1"/>
    <col min="12560" max="12560" width="49.88671875" style="3" customWidth="1"/>
    <col min="12561" max="12561" width="0" style="3" hidden="1"/>
    <col min="12562" max="12563" width="15.88671875" style="3" customWidth="1"/>
    <col min="12564" max="12564" width="14.5546875" style="3" customWidth="1"/>
    <col min="12565" max="12565" width="16.33203125" style="3" customWidth="1"/>
    <col min="12566" max="12566" width="18.109375" style="3" customWidth="1"/>
    <col min="12567" max="12567" width="14.109375" style="3" customWidth="1"/>
    <col min="12568" max="12794" width="0" style="3" hidden="1"/>
    <col min="12795" max="12795" width="7.5546875" style="3" customWidth="1"/>
    <col min="12796" max="12796" width="36.77734375" style="3" customWidth="1"/>
    <col min="12797" max="12798" width="0" style="3" hidden="1"/>
    <col min="12799" max="12799" width="16.6640625" style="3" customWidth="1"/>
    <col min="12800" max="12800" width="17.33203125" style="3" customWidth="1"/>
    <col min="12801" max="12801" width="15.5546875" style="3" customWidth="1"/>
    <col min="12802" max="12802" width="0" style="3" hidden="1"/>
    <col min="12803" max="12803" width="16.6640625" style="3" customWidth="1"/>
    <col min="12804" max="12804" width="17.44140625" style="3" customWidth="1"/>
    <col min="12805" max="12806" width="0" style="3" hidden="1"/>
    <col min="12807" max="12809" width="15.33203125" style="3" customWidth="1"/>
    <col min="12810" max="12810" width="17" style="3" customWidth="1"/>
    <col min="12811" max="12811" width="0" style="3" hidden="1"/>
    <col min="12812" max="12813" width="15.5546875" style="3" customWidth="1"/>
    <col min="12814" max="12814" width="13.6640625" style="3" customWidth="1"/>
    <col min="12815" max="12815" width="9" style="3" customWidth="1"/>
    <col min="12816" max="12816" width="49.88671875" style="3" customWidth="1"/>
    <col min="12817" max="12817" width="0" style="3" hidden="1"/>
    <col min="12818" max="12819" width="15.88671875" style="3" customWidth="1"/>
    <col min="12820" max="12820" width="14.5546875" style="3" customWidth="1"/>
    <col min="12821" max="12821" width="16.33203125" style="3" customWidth="1"/>
    <col min="12822" max="12822" width="18.109375" style="3" customWidth="1"/>
    <col min="12823" max="12823" width="14.109375" style="3" customWidth="1"/>
    <col min="12824" max="13050" width="0" style="3" hidden="1"/>
    <col min="13051" max="13051" width="7.5546875" style="3" customWidth="1"/>
    <col min="13052" max="13052" width="36.77734375" style="3" customWidth="1"/>
    <col min="13053" max="13054" width="0" style="3" hidden="1"/>
    <col min="13055" max="13055" width="16.6640625" style="3" customWidth="1"/>
    <col min="13056" max="13056" width="17.33203125" style="3" customWidth="1"/>
    <col min="13057" max="13057" width="15.5546875" style="3" customWidth="1"/>
    <col min="13058" max="13058" width="0" style="3" hidden="1"/>
    <col min="13059" max="13059" width="16.6640625" style="3" customWidth="1"/>
    <col min="13060" max="13060" width="17.44140625" style="3" customWidth="1"/>
    <col min="13061" max="13062" width="0" style="3" hidden="1"/>
    <col min="13063" max="13065" width="15.33203125" style="3" customWidth="1"/>
    <col min="13066" max="13066" width="17" style="3" customWidth="1"/>
    <col min="13067" max="13067" width="0" style="3" hidden="1"/>
    <col min="13068" max="13069" width="15.5546875" style="3" customWidth="1"/>
    <col min="13070" max="13070" width="13.6640625" style="3" customWidth="1"/>
    <col min="13071" max="13071" width="9" style="3" customWidth="1"/>
    <col min="13072" max="13072" width="49.88671875" style="3" customWidth="1"/>
    <col min="13073" max="13073" width="0" style="3" hidden="1"/>
    <col min="13074" max="13075" width="15.88671875" style="3" customWidth="1"/>
    <col min="13076" max="13076" width="14.5546875" style="3" customWidth="1"/>
    <col min="13077" max="13077" width="16.33203125" style="3" customWidth="1"/>
    <col min="13078" max="13078" width="18.109375" style="3" customWidth="1"/>
    <col min="13079" max="13079" width="14.109375" style="3" customWidth="1"/>
    <col min="13080" max="13306" width="0" style="3" hidden="1"/>
    <col min="13307" max="13307" width="7.5546875" style="3" customWidth="1"/>
    <col min="13308" max="13308" width="36.77734375" style="3" customWidth="1"/>
    <col min="13309" max="13310" width="0" style="3" hidden="1"/>
    <col min="13311" max="13311" width="16.6640625" style="3" customWidth="1"/>
    <col min="13312" max="13312" width="17.33203125" style="3" customWidth="1"/>
    <col min="13313" max="13313" width="15.5546875" style="3" customWidth="1"/>
    <col min="13314" max="13314" width="0" style="3" hidden="1"/>
    <col min="13315" max="13315" width="16.6640625" style="3" customWidth="1"/>
    <col min="13316" max="13316" width="17.44140625" style="3" customWidth="1"/>
    <col min="13317" max="13318" width="0" style="3" hidden="1"/>
    <col min="13319" max="13321" width="15.33203125" style="3" customWidth="1"/>
    <col min="13322" max="13322" width="17" style="3" customWidth="1"/>
    <col min="13323" max="13323" width="0" style="3" hidden="1"/>
    <col min="13324" max="13325" width="15.5546875" style="3" customWidth="1"/>
    <col min="13326" max="13326" width="13.6640625" style="3" customWidth="1"/>
    <col min="13327" max="13327" width="9" style="3" customWidth="1"/>
    <col min="13328" max="13328" width="49.88671875" style="3" customWidth="1"/>
    <col min="13329" max="13329" width="0" style="3" hidden="1"/>
    <col min="13330" max="13331" width="15.88671875" style="3" customWidth="1"/>
    <col min="13332" max="13332" width="14.5546875" style="3" customWidth="1"/>
    <col min="13333" max="13333" width="16.33203125" style="3" customWidth="1"/>
    <col min="13334" max="13334" width="18.109375" style="3" customWidth="1"/>
    <col min="13335" max="13335" width="14.109375" style="3" customWidth="1"/>
    <col min="13336" max="13562" width="0" style="3" hidden="1"/>
    <col min="13563" max="13563" width="7.5546875" style="3" customWidth="1"/>
    <col min="13564" max="13564" width="36.77734375" style="3" customWidth="1"/>
    <col min="13565" max="13566" width="0" style="3" hidden="1"/>
    <col min="13567" max="13567" width="16.6640625" style="3" customWidth="1"/>
    <col min="13568" max="13568" width="17.33203125" style="3" customWidth="1"/>
    <col min="13569" max="13569" width="15.5546875" style="3" customWidth="1"/>
    <col min="13570" max="13570" width="0" style="3" hidden="1"/>
    <col min="13571" max="13571" width="16.6640625" style="3" customWidth="1"/>
    <col min="13572" max="13572" width="17.44140625" style="3" customWidth="1"/>
    <col min="13573" max="13574" width="0" style="3" hidden="1"/>
    <col min="13575" max="13577" width="15.33203125" style="3" customWidth="1"/>
    <col min="13578" max="13578" width="17" style="3" customWidth="1"/>
    <col min="13579" max="13579" width="0" style="3" hidden="1"/>
    <col min="13580" max="13581" width="15.5546875" style="3" customWidth="1"/>
    <col min="13582" max="13582" width="13.6640625" style="3" customWidth="1"/>
    <col min="13583" max="13583" width="9" style="3" customWidth="1"/>
    <col min="13584" max="13584" width="49.88671875" style="3" customWidth="1"/>
    <col min="13585" max="13585" width="0" style="3" hidden="1"/>
    <col min="13586" max="13587" width="15.88671875" style="3" customWidth="1"/>
    <col min="13588" max="13588" width="14.5546875" style="3" customWidth="1"/>
    <col min="13589" max="13589" width="16.33203125" style="3" customWidth="1"/>
    <col min="13590" max="13590" width="18.109375" style="3" customWidth="1"/>
    <col min="13591" max="13591" width="14.109375" style="3" customWidth="1"/>
    <col min="13592" max="13818" width="0" style="3" hidden="1"/>
    <col min="13819" max="13819" width="7.5546875" style="3" customWidth="1"/>
    <col min="13820" max="13820" width="36.77734375" style="3" customWidth="1"/>
    <col min="13821" max="13822" width="0" style="3" hidden="1"/>
    <col min="13823" max="13823" width="16.6640625" style="3" customWidth="1"/>
    <col min="13824" max="13824" width="17.33203125" style="3" customWidth="1"/>
    <col min="13825" max="13825" width="15.5546875" style="3" customWidth="1"/>
    <col min="13826" max="13826" width="0" style="3" hidden="1"/>
    <col min="13827" max="13827" width="16.6640625" style="3" customWidth="1"/>
    <col min="13828" max="13828" width="17.44140625" style="3" customWidth="1"/>
    <col min="13829" max="13830" width="0" style="3" hidden="1"/>
    <col min="13831" max="13833" width="15.33203125" style="3" customWidth="1"/>
    <col min="13834" max="13834" width="17" style="3" customWidth="1"/>
    <col min="13835" max="13835" width="0" style="3" hidden="1"/>
    <col min="13836" max="13837" width="15.5546875" style="3" customWidth="1"/>
    <col min="13838" max="13838" width="13.6640625" style="3" customWidth="1"/>
    <col min="13839" max="13839" width="9" style="3" customWidth="1"/>
    <col min="13840" max="13840" width="49.88671875" style="3" customWidth="1"/>
    <col min="13841" max="13841" width="0" style="3" hidden="1"/>
    <col min="13842" max="13843" width="15.88671875" style="3" customWidth="1"/>
    <col min="13844" max="13844" width="14.5546875" style="3" customWidth="1"/>
    <col min="13845" max="13845" width="16.33203125" style="3" customWidth="1"/>
    <col min="13846" max="13846" width="18.109375" style="3" customWidth="1"/>
    <col min="13847" max="13847" width="14.109375" style="3" customWidth="1"/>
    <col min="13848" max="14074" width="0" style="3" hidden="1"/>
    <col min="14075" max="14075" width="7.5546875" style="3" customWidth="1"/>
    <col min="14076" max="14076" width="36.77734375" style="3" customWidth="1"/>
    <col min="14077" max="14078" width="0" style="3" hidden="1"/>
    <col min="14079" max="14079" width="16.6640625" style="3" customWidth="1"/>
    <col min="14080" max="14080" width="17.33203125" style="3" customWidth="1"/>
    <col min="14081" max="14081" width="15.5546875" style="3" customWidth="1"/>
    <col min="14082" max="14082" width="0" style="3" hidden="1"/>
    <col min="14083" max="14083" width="16.6640625" style="3" customWidth="1"/>
    <col min="14084" max="14084" width="17.44140625" style="3" customWidth="1"/>
    <col min="14085" max="14086" width="0" style="3" hidden="1"/>
    <col min="14087" max="14089" width="15.33203125" style="3" customWidth="1"/>
    <col min="14090" max="14090" width="17" style="3" customWidth="1"/>
    <col min="14091" max="14091" width="0" style="3" hidden="1"/>
    <col min="14092" max="14093" width="15.5546875" style="3" customWidth="1"/>
    <col min="14094" max="14094" width="13.6640625" style="3" customWidth="1"/>
    <col min="14095" max="14095" width="9" style="3" customWidth="1"/>
    <col min="14096" max="14096" width="49.88671875" style="3" customWidth="1"/>
    <col min="14097" max="14097" width="0" style="3" hidden="1"/>
    <col min="14098" max="14099" width="15.88671875" style="3" customWidth="1"/>
    <col min="14100" max="14100" width="14.5546875" style="3" customWidth="1"/>
    <col min="14101" max="14101" width="16.33203125" style="3" customWidth="1"/>
    <col min="14102" max="14102" width="18.109375" style="3" customWidth="1"/>
    <col min="14103" max="14103" width="14.109375" style="3" customWidth="1"/>
    <col min="14104" max="14330" width="0" style="3" hidden="1"/>
    <col min="14331" max="14331" width="7.5546875" style="3" customWidth="1"/>
    <col min="14332" max="14332" width="36.77734375" style="3" customWidth="1"/>
    <col min="14333" max="14334" width="0" style="3" hidden="1"/>
    <col min="14335" max="14335" width="16.6640625" style="3" customWidth="1"/>
    <col min="14336" max="14336" width="17.33203125" style="3" customWidth="1"/>
    <col min="14337" max="14337" width="15.5546875" style="3" customWidth="1"/>
    <col min="14338" max="14338" width="0" style="3" hidden="1"/>
    <col min="14339" max="14339" width="16.6640625" style="3" customWidth="1"/>
    <col min="14340" max="14340" width="17.44140625" style="3" customWidth="1"/>
    <col min="14341" max="14342" width="0" style="3" hidden="1"/>
    <col min="14343" max="14345" width="15.33203125" style="3" customWidth="1"/>
    <col min="14346" max="14346" width="17" style="3" customWidth="1"/>
    <col min="14347" max="14347" width="0" style="3" hidden="1"/>
    <col min="14348" max="14349" width="15.5546875" style="3" customWidth="1"/>
    <col min="14350" max="14350" width="13.6640625" style="3" customWidth="1"/>
    <col min="14351" max="14351" width="9" style="3" customWidth="1"/>
    <col min="14352" max="14352" width="49.88671875" style="3" customWidth="1"/>
    <col min="14353" max="14353" width="0" style="3" hidden="1"/>
    <col min="14354" max="14355" width="15.88671875" style="3" customWidth="1"/>
    <col min="14356" max="14356" width="14.5546875" style="3" customWidth="1"/>
    <col min="14357" max="14357" width="16.33203125" style="3" customWidth="1"/>
    <col min="14358" max="14358" width="18.109375" style="3" customWidth="1"/>
    <col min="14359" max="14359" width="14.109375" style="3" customWidth="1"/>
    <col min="14360" max="14586" width="0" style="3" hidden="1"/>
    <col min="14587" max="14587" width="7.5546875" style="3" customWidth="1"/>
    <col min="14588" max="14588" width="36.77734375" style="3" customWidth="1"/>
    <col min="14589" max="14590" width="0" style="3" hidden="1"/>
    <col min="14591" max="14591" width="16.6640625" style="3" customWidth="1"/>
    <col min="14592" max="14592" width="17.33203125" style="3" customWidth="1"/>
    <col min="14593" max="14593" width="15.5546875" style="3" customWidth="1"/>
    <col min="14594" max="14594" width="0" style="3" hidden="1"/>
    <col min="14595" max="14595" width="16.6640625" style="3" customWidth="1"/>
    <col min="14596" max="14596" width="17.44140625" style="3" customWidth="1"/>
    <col min="14597" max="14598" width="0" style="3" hidden="1"/>
    <col min="14599" max="14601" width="15.33203125" style="3" customWidth="1"/>
    <col min="14602" max="14602" width="17" style="3" customWidth="1"/>
    <col min="14603" max="14603" width="0" style="3" hidden="1"/>
    <col min="14604" max="14605" width="15.5546875" style="3" customWidth="1"/>
    <col min="14606" max="14606" width="13.6640625" style="3" customWidth="1"/>
    <col min="14607" max="14607" width="9" style="3" customWidth="1"/>
    <col min="14608" max="14608" width="49.88671875" style="3" customWidth="1"/>
    <col min="14609" max="14609" width="0" style="3" hidden="1"/>
    <col min="14610" max="14611" width="15.88671875" style="3" customWidth="1"/>
    <col min="14612" max="14612" width="14.5546875" style="3" customWidth="1"/>
    <col min="14613" max="14613" width="16.33203125" style="3" customWidth="1"/>
    <col min="14614" max="14614" width="18.109375" style="3" customWidth="1"/>
    <col min="14615" max="14615" width="14.109375" style="3" customWidth="1"/>
    <col min="14616" max="14842" width="0" style="3" hidden="1"/>
    <col min="14843" max="14843" width="7.5546875" style="3" customWidth="1"/>
    <col min="14844" max="14844" width="36.77734375" style="3" customWidth="1"/>
    <col min="14845" max="14846" width="0" style="3" hidden="1"/>
    <col min="14847" max="14847" width="16.6640625" style="3" customWidth="1"/>
    <col min="14848" max="14848" width="17.33203125" style="3" customWidth="1"/>
    <col min="14849" max="14849" width="15.5546875" style="3" customWidth="1"/>
    <col min="14850" max="14850" width="0" style="3" hidden="1"/>
    <col min="14851" max="14851" width="16.6640625" style="3" customWidth="1"/>
    <col min="14852" max="14852" width="17.44140625" style="3" customWidth="1"/>
    <col min="14853" max="14854" width="0" style="3" hidden="1"/>
    <col min="14855" max="14857" width="15.33203125" style="3" customWidth="1"/>
    <col min="14858" max="14858" width="17" style="3" customWidth="1"/>
    <col min="14859" max="14859" width="0" style="3" hidden="1"/>
    <col min="14860" max="14861" width="15.5546875" style="3" customWidth="1"/>
    <col min="14862" max="14862" width="13.6640625" style="3" customWidth="1"/>
    <col min="14863" max="14863" width="9" style="3" customWidth="1"/>
    <col min="14864" max="14864" width="49.88671875" style="3" customWidth="1"/>
    <col min="14865" max="14865" width="0" style="3" hidden="1"/>
    <col min="14866" max="14867" width="15.88671875" style="3" customWidth="1"/>
    <col min="14868" max="14868" width="14.5546875" style="3" customWidth="1"/>
    <col min="14869" max="14869" width="16.33203125" style="3" customWidth="1"/>
    <col min="14870" max="14870" width="18.109375" style="3" customWidth="1"/>
    <col min="14871" max="14871" width="14.109375" style="3" customWidth="1"/>
    <col min="14872" max="15098" width="0" style="3" hidden="1"/>
    <col min="15099" max="15099" width="7.5546875" style="3" customWidth="1"/>
    <col min="15100" max="15100" width="36.77734375" style="3" customWidth="1"/>
    <col min="15101" max="15102" width="0" style="3" hidden="1"/>
    <col min="15103" max="15103" width="16.6640625" style="3" customWidth="1"/>
    <col min="15104" max="15104" width="17.33203125" style="3" customWidth="1"/>
    <col min="15105" max="15105" width="15.5546875" style="3" customWidth="1"/>
    <col min="15106" max="15106" width="0" style="3" hidden="1"/>
    <col min="15107" max="15107" width="16.6640625" style="3" customWidth="1"/>
    <col min="15108" max="15108" width="17.44140625" style="3" customWidth="1"/>
    <col min="15109" max="15110" width="0" style="3" hidden="1"/>
    <col min="15111" max="15113" width="15.33203125" style="3" customWidth="1"/>
    <col min="15114" max="15114" width="17" style="3" customWidth="1"/>
    <col min="15115" max="15115" width="0" style="3" hidden="1"/>
    <col min="15116" max="15117" width="15.5546875" style="3" customWidth="1"/>
    <col min="15118" max="15118" width="13.6640625" style="3" customWidth="1"/>
    <col min="15119" max="15119" width="9" style="3" customWidth="1"/>
    <col min="15120" max="15120" width="49.88671875" style="3" customWidth="1"/>
    <col min="15121" max="15121" width="0" style="3" hidden="1"/>
    <col min="15122" max="15123" width="15.88671875" style="3" customWidth="1"/>
    <col min="15124" max="15124" width="14.5546875" style="3" customWidth="1"/>
    <col min="15125" max="15125" width="16.33203125" style="3" customWidth="1"/>
    <col min="15126" max="15126" width="18.109375" style="3" customWidth="1"/>
    <col min="15127" max="15127" width="14.109375" style="3" customWidth="1"/>
    <col min="15128" max="15354" width="0" style="3" hidden="1"/>
    <col min="15355" max="15355" width="7.5546875" style="3" customWidth="1"/>
    <col min="15356" max="15356" width="36.77734375" style="3" customWidth="1"/>
    <col min="15357" max="15358" width="0" style="3" hidden="1"/>
    <col min="15359" max="15359" width="16.6640625" style="3" customWidth="1"/>
    <col min="15360" max="15360" width="17.33203125" style="3" customWidth="1"/>
    <col min="15361" max="15361" width="15.5546875" style="3" customWidth="1"/>
    <col min="15362" max="15362" width="0" style="3" hidden="1"/>
    <col min="15363" max="15363" width="16.6640625" style="3" customWidth="1"/>
    <col min="15364" max="15364" width="17.44140625" style="3" customWidth="1"/>
    <col min="15365" max="15366" width="0" style="3" hidden="1"/>
    <col min="15367" max="15369" width="15.33203125" style="3" customWidth="1"/>
    <col min="15370" max="15370" width="17" style="3" customWidth="1"/>
    <col min="15371" max="15371" width="0" style="3" hidden="1"/>
    <col min="15372" max="15373" width="15.5546875" style="3" customWidth="1"/>
    <col min="15374" max="15374" width="13.6640625" style="3" customWidth="1"/>
    <col min="15375" max="15375" width="9" style="3" customWidth="1"/>
    <col min="15376" max="15376" width="49.88671875" style="3" customWidth="1"/>
    <col min="15377" max="15377" width="0" style="3" hidden="1"/>
    <col min="15378" max="15379" width="15.88671875" style="3" customWidth="1"/>
    <col min="15380" max="15380" width="14.5546875" style="3" customWidth="1"/>
    <col min="15381" max="15381" width="16.33203125" style="3" customWidth="1"/>
    <col min="15382" max="15382" width="18.109375" style="3" customWidth="1"/>
    <col min="15383" max="15383" width="14.109375" style="3" customWidth="1"/>
    <col min="15384" max="15610" width="0" style="3" hidden="1"/>
    <col min="15611" max="15611" width="7.5546875" style="3" customWidth="1"/>
    <col min="15612" max="15612" width="36.77734375" style="3" customWidth="1"/>
    <col min="15613" max="15614" width="0" style="3" hidden="1"/>
    <col min="15615" max="15615" width="16.6640625" style="3" customWidth="1"/>
    <col min="15616" max="15616" width="17.33203125" style="3" customWidth="1"/>
    <col min="15617" max="15617" width="15.5546875" style="3" customWidth="1"/>
    <col min="15618" max="15618" width="0" style="3" hidden="1"/>
    <col min="15619" max="15619" width="16.6640625" style="3" customWidth="1"/>
    <col min="15620" max="15620" width="17.44140625" style="3" customWidth="1"/>
    <col min="15621" max="15622" width="0" style="3" hidden="1"/>
    <col min="15623" max="15625" width="15.33203125" style="3" customWidth="1"/>
    <col min="15626" max="15626" width="17" style="3" customWidth="1"/>
    <col min="15627" max="15627" width="0" style="3" hidden="1"/>
    <col min="15628" max="15629" width="15.5546875" style="3" customWidth="1"/>
    <col min="15630" max="15630" width="13.6640625" style="3" customWidth="1"/>
    <col min="15631" max="15631" width="9" style="3" customWidth="1"/>
    <col min="15632" max="15632" width="49.88671875" style="3" customWidth="1"/>
    <col min="15633" max="15633" width="0" style="3" hidden="1"/>
    <col min="15634" max="15635" width="15.88671875" style="3" customWidth="1"/>
    <col min="15636" max="15636" width="14.5546875" style="3" customWidth="1"/>
    <col min="15637" max="15637" width="16.33203125" style="3" customWidth="1"/>
    <col min="15638" max="15638" width="18.109375" style="3" customWidth="1"/>
    <col min="15639" max="15639" width="14.109375" style="3" customWidth="1"/>
    <col min="15640" max="15866" width="0" style="3" hidden="1"/>
    <col min="15867" max="15867" width="7.5546875" style="3" customWidth="1"/>
    <col min="15868" max="15868" width="36.77734375" style="3" customWidth="1"/>
    <col min="15869" max="15870" width="0" style="3" hidden="1"/>
    <col min="15871" max="15871" width="16.6640625" style="3" customWidth="1"/>
    <col min="15872" max="15872" width="17.33203125" style="3" customWidth="1"/>
    <col min="15873" max="15873" width="15.5546875" style="3" customWidth="1"/>
    <col min="15874" max="15874" width="0" style="3" hidden="1"/>
    <col min="15875" max="15875" width="16.6640625" style="3" customWidth="1"/>
    <col min="15876" max="15876" width="17.44140625" style="3" customWidth="1"/>
    <col min="15877" max="15878" width="0" style="3" hidden="1"/>
    <col min="15879" max="15881" width="15.33203125" style="3" customWidth="1"/>
    <col min="15882" max="15882" width="17" style="3" customWidth="1"/>
    <col min="15883" max="15883" width="0" style="3" hidden="1"/>
    <col min="15884" max="15885" width="15.5546875" style="3" customWidth="1"/>
    <col min="15886" max="15886" width="13.6640625" style="3" customWidth="1"/>
    <col min="15887" max="15887" width="9" style="3" customWidth="1"/>
    <col min="15888" max="15888" width="49.88671875" style="3" customWidth="1"/>
    <col min="15889" max="15889" width="0" style="3" hidden="1"/>
    <col min="15890" max="15891" width="15.88671875" style="3" customWidth="1"/>
    <col min="15892" max="15892" width="14.5546875" style="3" customWidth="1"/>
    <col min="15893" max="15893" width="16.33203125" style="3" customWidth="1"/>
    <col min="15894" max="15894" width="18.109375" style="3" customWidth="1"/>
    <col min="15895" max="15895" width="14.109375" style="3" customWidth="1"/>
    <col min="15896" max="16122" width="0" style="3" hidden="1"/>
    <col min="16123" max="16123" width="7.5546875" style="3" customWidth="1"/>
    <col min="16124" max="16124" width="36.77734375" style="3" customWidth="1"/>
    <col min="16125" max="16126" width="0" style="3" hidden="1"/>
    <col min="16127" max="16127" width="16.6640625" style="3" customWidth="1"/>
    <col min="16128" max="16128" width="17.33203125" style="3" customWidth="1"/>
    <col min="16129" max="16129" width="15.5546875" style="3" customWidth="1"/>
    <col min="16130" max="16130" width="0" style="3" hidden="1"/>
    <col min="16131" max="16131" width="16.6640625" style="3" customWidth="1"/>
    <col min="16132" max="16132" width="17.44140625" style="3" customWidth="1"/>
    <col min="16133" max="16134" width="0" style="3" hidden="1"/>
    <col min="16135" max="16137" width="15.33203125" style="3" customWidth="1"/>
    <col min="16138" max="16138" width="17" style="3" customWidth="1"/>
    <col min="16139" max="16139" width="0" style="3" hidden="1"/>
    <col min="16140" max="16141" width="15.5546875" style="3" customWidth="1"/>
    <col min="16142" max="16142" width="13.6640625" style="3" customWidth="1"/>
    <col min="16143" max="16143" width="9" style="3" customWidth="1"/>
    <col min="16144" max="16144" width="49.88671875" style="3" customWidth="1"/>
    <col min="16145" max="16145" width="0" style="3" hidden="1"/>
    <col min="16146" max="16147" width="15.88671875" style="3" customWidth="1"/>
    <col min="16148" max="16148" width="14.5546875" style="3" customWidth="1"/>
    <col min="16149" max="16149" width="16.33203125" style="3" customWidth="1"/>
    <col min="16150" max="16150" width="18.109375" style="3" customWidth="1"/>
    <col min="16151" max="16151" width="14.109375" style="3" customWidth="1"/>
    <col min="16152" max="16384" width="0" style="3" hidden="1"/>
  </cols>
  <sheetData>
    <row r="1" spans="1:23" ht="24.75" customHeight="1">
      <c r="A1" s="141" t="s">
        <v>73</v>
      </c>
      <c r="B1" s="1"/>
      <c r="C1" s="1"/>
      <c r="D1" s="1"/>
      <c r="E1" s="1"/>
      <c r="F1" s="47"/>
      <c r="G1" s="55"/>
      <c r="H1" s="55"/>
      <c r="I1" s="47"/>
      <c r="J1" s="47"/>
      <c r="K1" s="47"/>
      <c r="L1" s="1"/>
      <c r="M1" s="1"/>
      <c r="N1" s="1"/>
      <c r="O1" s="1"/>
      <c r="P1" s="1"/>
      <c r="Q1" s="47"/>
      <c r="R1" s="47"/>
      <c r="S1" s="1"/>
      <c r="T1" s="2"/>
      <c r="U1" s="1"/>
      <c r="V1" s="2"/>
      <c r="W1" s="3"/>
    </row>
    <row r="2" spans="1:23" ht="24.75" customHeight="1">
      <c r="A2" s="142" t="s">
        <v>121</v>
      </c>
      <c r="B2" s="6"/>
      <c r="C2" s="6"/>
      <c r="D2" s="6"/>
      <c r="E2" s="6"/>
      <c r="F2" s="48"/>
      <c r="G2" s="56"/>
      <c r="H2" s="56"/>
      <c r="I2" s="48"/>
      <c r="J2" s="48"/>
      <c r="K2" s="48"/>
      <c r="L2" s="6"/>
      <c r="M2" s="6"/>
      <c r="N2" s="6"/>
      <c r="O2" s="6"/>
      <c r="P2" s="6"/>
      <c r="Q2" s="48"/>
      <c r="R2" s="48"/>
      <c r="S2" s="6"/>
      <c r="T2" s="7"/>
      <c r="U2" s="6"/>
      <c r="V2" s="7"/>
      <c r="W2" s="3"/>
    </row>
    <row r="3" spans="1:23" ht="26.25" customHeight="1">
      <c r="A3" s="8" t="s">
        <v>105</v>
      </c>
      <c r="B3" s="8"/>
      <c r="C3" s="9"/>
      <c r="D3" s="9"/>
      <c r="E3" s="9"/>
      <c r="F3" s="11"/>
      <c r="G3" s="27"/>
      <c r="H3" s="27"/>
      <c r="I3" s="11"/>
      <c r="J3" s="11"/>
      <c r="K3" s="11"/>
      <c r="L3" s="10"/>
      <c r="M3" s="10"/>
      <c r="N3" s="10"/>
      <c r="O3" s="10"/>
      <c r="P3" s="10"/>
      <c r="Q3" s="11"/>
      <c r="R3" s="11"/>
      <c r="S3" s="14"/>
      <c r="U3" s="14"/>
      <c r="V3" s="13"/>
      <c r="W3" s="3"/>
    </row>
    <row r="4" spans="1:23" ht="22.2" customHeight="1" thickBot="1">
      <c r="A4" s="15"/>
      <c r="B4" s="15"/>
      <c r="C4" s="9"/>
      <c r="D4" s="9"/>
      <c r="E4" s="9"/>
      <c r="F4" s="11"/>
      <c r="G4" s="27"/>
      <c r="H4" s="27"/>
      <c r="I4" s="11"/>
      <c r="J4" s="11"/>
      <c r="K4" s="11"/>
      <c r="L4" s="123">
        <v>0.05</v>
      </c>
      <c r="M4" s="123">
        <v>0.25</v>
      </c>
      <c r="N4" s="210"/>
      <c r="O4" s="210"/>
      <c r="P4" s="210"/>
      <c r="Q4" s="218">
        <v>0.25</v>
      </c>
      <c r="R4" s="11"/>
      <c r="S4" s="14"/>
      <c r="U4" s="14"/>
      <c r="V4" s="13"/>
      <c r="W4" s="3"/>
    </row>
    <row r="5" spans="1:23" s="17" customFormat="1" ht="70.2" thickBot="1">
      <c r="A5" s="433" t="s">
        <v>0</v>
      </c>
      <c r="B5" s="434" t="s">
        <v>40</v>
      </c>
      <c r="C5" s="247" t="s">
        <v>1</v>
      </c>
      <c r="D5" s="247" t="s">
        <v>6</v>
      </c>
      <c r="E5" s="435" t="s">
        <v>45</v>
      </c>
      <c r="F5" s="436" t="s">
        <v>31</v>
      </c>
      <c r="G5" s="437" t="s">
        <v>37</v>
      </c>
      <c r="H5" s="402" t="s">
        <v>109</v>
      </c>
      <c r="I5" s="438" t="s">
        <v>38</v>
      </c>
      <c r="J5" s="251" t="s">
        <v>41</v>
      </c>
      <c r="K5" s="251" t="s">
        <v>116</v>
      </c>
      <c r="L5" s="252" t="s">
        <v>117</v>
      </c>
      <c r="M5" s="252" t="s">
        <v>118</v>
      </c>
      <c r="N5" s="251" t="s">
        <v>119</v>
      </c>
      <c r="O5" s="395" t="s">
        <v>113</v>
      </c>
      <c r="P5" s="395" t="s">
        <v>114</v>
      </c>
      <c r="Q5" s="395" t="s">
        <v>115</v>
      </c>
      <c r="R5" s="253" t="s">
        <v>120</v>
      </c>
      <c r="S5" s="145" t="s">
        <v>39</v>
      </c>
      <c r="T5" s="133" t="s">
        <v>43</v>
      </c>
      <c r="U5" s="132" t="s">
        <v>7</v>
      </c>
      <c r="V5" s="16"/>
    </row>
    <row r="6" spans="1:23" s="163" customFormat="1" ht="23.4" customHeight="1">
      <c r="A6" s="160">
        <v>1</v>
      </c>
      <c r="B6" s="233" t="s">
        <v>123</v>
      </c>
      <c r="C6" s="18" t="s">
        <v>124</v>
      </c>
      <c r="D6" s="31" t="s">
        <v>82</v>
      </c>
      <c r="E6" s="31" t="s">
        <v>59</v>
      </c>
      <c r="F6" s="39">
        <v>4542.0600000000004</v>
      </c>
      <c r="G6" s="403"/>
      <c r="H6" s="161"/>
      <c r="I6" s="401">
        <f>Table13514520105[[#This Row],[ค่าบริการรายเดือนตาม Package]]+Table13514520105[[#This Row],[รายการเบิก
คอมขายเพิ่มเติม
(เป้าตามกำหนด)
100-200%]]</f>
        <v>4542.0600000000004</v>
      </c>
      <c r="J6" s="161"/>
      <c r="K6" s="161"/>
      <c r="L6" s="162">
        <f>IF(Table13514520105[[#This Row],[ค่าขายอุปกรณ์]]&gt;Table13514520105[[#This Row],[ต้นทุนค่าขายอุปกรณ์]],Table13514520105[[#This Row],[ต้นทุนค่าขายอุปกรณ์]]*$L$4,Table13514520105[[#This Row],[ค่าขายอุปกรณ์]]*$L$4)</f>
        <v>0</v>
      </c>
      <c r="M6" s="162">
        <f>IF(Table13514520105[[#This Row],[ค่าขายอุปกรณ์]]&gt;Table13514520105[[#This Row],[ต้นทุนค่าขายอุปกรณ์]],SUM(Table13514520105[[#This Row],[ค่าขายอุปกรณ์]]-Table13514520105[[#This Row],[ต้นทุนค่าขายอุปกรณ์]])*$M$4,0)</f>
        <v>0</v>
      </c>
      <c r="N6" s="421">
        <f>Table13514520105[[#This Row],[คอมฯอุปกรณ์
 5%]]+Table13514520105[[#This Row],[คอมฯ อุปกรณ์
25%]]</f>
        <v>0</v>
      </c>
      <c r="O6" s="416"/>
      <c r="P6" s="416"/>
      <c r="Q6"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6" s="422">
        <f>Table13514520105[[#This Row],[รายการเบิก
คอมขาย]]+Table13514520105[[#This Row],[Total
คอมฯ อุปกรณ์]]+Table13514520105[[#This Row],[Total 
คอมฯค่าติดตั้ง/ค่าเชื่อมสัญญาณ]]</f>
        <v>4542.0600000000004</v>
      </c>
      <c r="S6" s="134" t="s">
        <v>126</v>
      </c>
      <c r="T6" s="527" t="s">
        <v>128</v>
      </c>
      <c r="U6" s="188" t="s">
        <v>127</v>
      </c>
      <c r="V6" s="3"/>
    </row>
    <row r="7" spans="1:23" s="163" customFormat="1" ht="23.4" customHeight="1">
      <c r="A7" s="164">
        <v>1.1000000000000001</v>
      </c>
      <c r="B7" s="165"/>
      <c r="C7" s="19" t="s">
        <v>125</v>
      </c>
      <c r="D7" s="32"/>
      <c r="E7" s="32"/>
      <c r="F7" s="40"/>
      <c r="G7" s="44"/>
      <c r="H7" s="158"/>
      <c r="I7" s="49"/>
      <c r="J7" s="154"/>
      <c r="K7" s="155"/>
      <c r="L7" s="166"/>
      <c r="M7" s="167"/>
      <c r="N7" s="167"/>
      <c r="O7" s="167"/>
      <c r="P7" s="167"/>
      <c r="Q7" s="49"/>
      <c r="R7" s="423"/>
      <c r="S7" s="136"/>
      <c r="T7" s="196"/>
      <c r="U7" s="189"/>
      <c r="V7" s="3"/>
    </row>
    <row r="8" spans="1:23" s="163" customFormat="1" ht="23.4" customHeight="1" thickBot="1">
      <c r="A8" s="168">
        <v>1.2</v>
      </c>
      <c r="B8" s="165"/>
      <c r="C8" s="204"/>
      <c r="D8" s="33"/>
      <c r="E8" s="33"/>
      <c r="F8" s="41"/>
      <c r="G8" s="45"/>
      <c r="H8" s="158"/>
      <c r="I8" s="50"/>
      <c r="J8" s="41"/>
      <c r="K8" s="41"/>
      <c r="L8" s="167"/>
      <c r="M8" s="167"/>
      <c r="N8" s="167"/>
      <c r="O8" s="167"/>
      <c r="P8" s="167"/>
      <c r="Q8" s="50"/>
      <c r="R8" s="424"/>
      <c r="S8" s="138"/>
      <c r="T8" s="197"/>
      <c r="U8" s="190"/>
      <c r="V8" s="139"/>
    </row>
    <row r="9" spans="1:23" s="163" customFormat="1" ht="23.4" customHeight="1">
      <c r="A9" s="169">
        <v>2</v>
      </c>
      <c r="B9" s="170"/>
      <c r="C9" s="171"/>
      <c r="D9" s="31"/>
      <c r="E9" s="31"/>
      <c r="F9" s="161"/>
      <c r="G9" s="403"/>
      <c r="H9" s="161"/>
      <c r="I9" s="401">
        <f>Table13514520105[[#This Row],[ค่าบริการรายเดือนตาม Package]]+Table13514520105[[#This Row],[รายการเบิก
คอมขายเพิ่มเติม
(เป้าตามกำหนด)
100-200%]]</f>
        <v>0</v>
      </c>
      <c r="J9" s="161"/>
      <c r="K9" s="202"/>
      <c r="L9" s="162">
        <f>IF(Table13514520105[[#This Row],[ค่าขายอุปกรณ์]]&gt;Table13514520105[[#This Row],[ต้นทุนค่าขายอุปกรณ์]],Table13514520105[[#This Row],[ต้นทุนค่าขายอุปกรณ์]]*$L$4,Table13514520105[[#This Row],[ค่าขายอุปกรณ์]]*$L$4)</f>
        <v>0</v>
      </c>
      <c r="M9" s="162">
        <f>IF(Table13514520105[[#This Row],[ค่าขายอุปกรณ์]]&gt;Table13514520105[[#This Row],[ต้นทุนค่าขายอุปกรณ์]],SUM(Table13514520105[[#This Row],[ค่าขายอุปกรณ์]]-Table13514520105[[#This Row],[ต้นทุนค่าขายอุปกรณ์]])*$M$4,0)</f>
        <v>0</v>
      </c>
      <c r="N9" s="421">
        <f>Table13514520105[[#This Row],[คอมฯอุปกรณ์
 5%]]+Table13514520105[[#This Row],[คอมฯ อุปกรณ์
25%]]</f>
        <v>0</v>
      </c>
      <c r="O9" s="416"/>
      <c r="P9" s="416"/>
      <c r="Q9"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9" s="422">
        <f>Table13514520105[[#This Row],[รายการเบิก
คอมขาย]]+Table13514520105[[#This Row],[Total
คอมฯ อุปกรณ์]]+Table13514520105[[#This Row],[Total 
คอมฯค่าติดตั้ง/ค่าเชื่อมสัญญาณ]]</f>
        <v>0</v>
      </c>
      <c r="S9" s="134"/>
      <c r="T9" s="195"/>
      <c r="U9" s="188"/>
      <c r="V9" s="3"/>
    </row>
    <row r="10" spans="1:23" s="163" customFormat="1" ht="23.4" customHeight="1">
      <c r="A10" s="164">
        <v>2.1</v>
      </c>
      <c r="B10" s="172"/>
      <c r="C10" s="182"/>
      <c r="D10" s="156"/>
      <c r="E10" s="156"/>
      <c r="F10" s="157"/>
      <c r="G10" s="158"/>
      <c r="H10" s="158"/>
      <c r="I10" s="49"/>
      <c r="J10" s="135"/>
      <c r="K10" s="140"/>
      <c r="L10" s="166"/>
      <c r="M10" s="167"/>
      <c r="N10" s="167"/>
      <c r="O10" s="167"/>
      <c r="P10" s="167"/>
      <c r="Q10" s="49"/>
      <c r="R10" s="423"/>
      <c r="S10" s="136"/>
      <c r="T10" s="196"/>
      <c r="U10" s="191"/>
      <c r="V10" s="137"/>
    </row>
    <row r="11" spans="1:23" s="163" customFormat="1" ht="23.4" customHeight="1" thickBot="1">
      <c r="A11" s="168">
        <v>2.2000000000000002</v>
      </c>
      <c r="B11" s="165"/>
      <c r="C11" s="122"/>
      <c r="D11" s="156"/>
      <c r="E11" s="156"/>
      <c r="F11" s="157"/>
      <c r="G11" s="158"/>
      <c r="H11" s="158"/>
      <c r="I11" s="50"/>
      <c r="J11" s="157"/>
      <c r="K11" s="157"/>
      <c r="L11" s="167"/>
      <c r="M11" s="167"/>
      <c r="N11" s="167"/>
      <c r="O11" s="167"/>
      <c r="P11" s="167"/>
      <c r="Q11" s="50"/>
      <c r="R11" s="424"/>
      <c r="S11" s="138"/>
      <c r="T11" s="197"/>
      <c r="U11" s="192"/>
      <c r="V11" s="173"/>
    </row>
    <row r="12" spans="1:23" s="163" customFormat="1" ht="23.4" customHeight="1">
      <c r="A12" s="169">
        <v>3</v>
      </c>
      <c r="B12" s="170"/>
      <c r="C12" s="171"/>
      <c r="D12" s="31"/>
      <c r="E12" s="31"/>
      <c r="F12" s="161"/>
      <c r="G12" s="403"/>
      <c r="H12" s="161"/>
      <c r="I12" s="401">
        <f>Table13514520105[[#This Row],[ค่าบริการรายเดือนตาม Package]]+Table13514520105[[#This Row],[รายการเบิก
คอมขายเพิ่มเติม
(เป้าตามกำหนด)
100-200%]]</f>
        <v>0</v>
      </c>
      <c r="J12" s="161"/>
      <c r="K12" s="161"/>
      <c r="L12" s="162">
        <f>IF(Table13514520105[[#This Row],[ค่าขายอุปกรณ์]]&gt;Table13514520105[[#This Row],[ต้นทุนค่าขายอุปกรณ์]],Table13514520105[[#This Row],[ต้นทุนค่าขายอุปกรณ์]]*$L$4,Table13514520105[[#This Row],[ค่าขายอุปกรณ์]]*$L$4)</f>
        <v>0</v>
      </c>
      <c r="M12" s="162">
        <f>IF(Table13514520105[[#This Row],[ค่าขายอุปกรณ์]]&gt;Table13514520105[[#This Row],[ต้นทุนค่าขายอุปกรณ์]],SUM(Table13514520105[[#This Row],[ค่าขายอุปกรณ์]]-Table13514520105[[#This Row],[ต้นทุนค่าขายอุปกรณ์]])*$M$4,0)</f>
        <v>0</v>
      </c>
      <c r="N12" s="421">
        <f>Table13514520105[[#This Row],[คอมฯอุปกรณ์
 5%]]+Table13514520105[[#This Row],[คอมฯ อุปกรณ์
25%]]</f>
        <v>0</v>
      </c>
      <c r="O12" s="162"/>
      <c r="P12" s="162"/>
      <c r="Q12"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2" s="422">
        <f>Table13514520105[[#This Row],[รายการเบิก
คอมขาย]]+Table13514520105[[#This Row],[Total
คอมฯ อุปกรณ์]]+Table13514520105[[#This Row],[Total 
คอมฯค่าติดตั้ง/ค่าเชื่อมสัญญาณ]]</f>
        <v>0</v>
      </c>
      <c r="S12" s="134"/>
      <c r="T12" s="198"/>
      <c r="U12" s="193"/>
      <c r="V12" s="3"/>
    </row>
    <row r="13" spans="1:23" s="163" customFormat="1" ht="23.4" customHeight="1">
      <c r="A13" s="164">
        <v>3.1</v>
      </c>
      <c r="B13" s="172"/>
      <c r="C13" s="372"/>
      <c r="D13" s="157"/>
      <c r="E13" s="156"/>
      <c r="F13" s="157"/>
      <c r="G13" s="158"/>
      <c r="H13" s="158"/>
      <c r="I13" s="49"/>
      <c r="J13" s="135"/>
      <c r="K13" s="140"/>
      <c r="L13" s="174"/>
      <c r="M13" s="175"/>
      <c r="N13" s="167"/>
      <c r="O13" s="175"/>
      <c r="P13" s="175"/>
      <c r="Q13" s="49"/>
      <c r="R13" s="423"/>
      <c r="S13" s="136"/>
      <c r="T13" s="199"/>
      <c r="U13" s="191"/>
      <c r="V13" s="137"/>
    </row>
    <row r="14" spans="1:23" s="163" customFormat="1" ht="23.4" customHeight="1">
      <c r="A14" s="168">
        <v>3.2</v>
      </c>
      <c r="B14" s="165"/>
      <c r="C14" s="122"/>
      <c r="D14" s="35"/>
      <c r="E14" s="156"/>
      <c r="F14" s="41"/>
      <c r="G14" s="45"/>
      <c r="H14" s="158"/>
      <c r="I14" s="50"/>
      <c r="J14" s="157"/>
      <c r="K14" s="157"/>
      <c r="L14" s="175"/>
      <c r="M14" s="175"/>
      <c r="N14" s="167"/>
      <c r="O14" s="175"/>
      <c r="P14" s="175"/>
      <c r="Q14" s="50"/>
      <c r="R14" s="424"/>
      <c r="S14" s="138"/>
      <c r="T14" s="200"/>
      <c r="U14" s="192"/>
      <c r="V14" s="173"/>
    </row>
    <row r="15" spans="1:23" s="163" customFormat="1" ht="23.4" hidden="1" customHeight="1">
      <c r="A15" s="425">
        <v>5</v>
      </c>
      <c r="B15" s="426"/>
      <c r="C15" s="171"/>
      <c r="D15" s="31"/>
      <c r="E15" s="31"/>
      <c r="F15" s="161"/>
      <c r="G15" s="418"/>
      <c r="H15" s="161"/>
      <c r="I15" s="401">
        <f>Table13514520105[[#This Row],[ค่าบริการรายเดือนตาม Package]]+Table13514520105[[#This Row],[รายการเบิก
คอมขายเพิ่มเติม
(เป้าตามกำหนด)
100-200%]]</f>
        <v>0</v>
      </c>
      <c r="J15" s="161"/>
      <c r="K15" s="202"/>
      <c r="L15" s="162">
        <f>IF(Table13514520105[[#This Row],[ค่าขายอุปกรณ์]]&gt;Table13514520105[[#This Row],[ต้นทุนค่าขายอุปกรณ์]],Table13514520105[[#This Row],[ต้นทุนค่าขายอุปกรณ์]]*$L$4,Table13514520105[[#This Row],[ค่าขายอุปกรณ์]]*$L$4)</f>
        <v>0</v>
      </c>
      <c r="M15" s="162">
        <f>IF(Table13514520105[[#This Row],[ค่าขายอุปกรณ์]]&gt;Table13514520105[[#This Row],[ต้นทุนค่าขายอุปกรณ์]],SUM(Table13514520105[[#This Row],[ค่าขายอุปกรณ์]]-Table13514520105[[#This Row],[ต้นทุนค่าขายอุปกรณ์]])*$M$4,0)</f>
        <v>0</v>
      </c>
      <c r="N15" s="421">
        <f>Table13514520105[[#This Row],[คอมฯอุปกรณ์
 5%]]+Table13514520105[[#This Row],[คอมฯ อุปกรณ์
25%]]</f>
        <v>0</v>
      </c>
      <c r="O15" s="162"/>
      <c r="P15" s="162"/>
      <c r="Q15"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5" s="422">
        <f>Table13514520105[[#This Row],[รายการเบิก
คอมขาย]]+Table13514520105[[#This Row],[Total
คอมฯ อุปกรณ์]]+Table13514520105[[#This Row],[Total 
คอมฯค่าติดตั้ง/ค่าเชื่อมสัญญาณ]]</f>
        <v>0</v>
      </c>
      <c r="S15" s="134"/>
      <c r="T15" s="373"/>
      <c r="U15" s="193"/>
      <c r="V15" s="3"/>
    </row>
    <row r="16" spans="1:23" s="163" customFormat="1" ht="23.4" hidden="1" customHeight="1">
      <c r="A16" s="164">
        <v>5.0999999999999996</v>
      </c>
      <c r="B16" s="172"/>
      <c r="C16" s="427"/>
      <c r="D16" s="156"/>
      <c r="E16" s="156"/>
      <c r="F16" s="157"/>
      <c r="G16" s="158"/>
      <c r="H16" s="158"/>
      <c r="I16" s="49"/>
      <c r="J16" s="135"/>
      <c r="K16" s="140"/>
      <c r="L16" s="174"/>
      <c r="M16" s="175"/>
      <c r="N16" s="167"/>
      <c r="O16" s="175"/>
      <c r="P16" s="175"/>
      <c r="Q16" s="49"/>
      <c r="R16" s="423"/>
      <c r="S16" s="136"/>
      <c r="T16" s="196"/>
      <c r="U16" s="191"/>
      <c r="V16" s="137"/>
    </row>
    <row r="17" spans="1:23" s="163" customFormat="1" ht="23.4" hidden="1" customHeight="1" thickBot="1">
      <c r="A17" s="168">
        <v>5.2</v>
      </c>
      <c r="B17" s="165"/>
      <c r="C17" s="122"/>
      <c r="D17" s="156"/>
      <c r="E17" s="156"/>
      <c r="F17" s="157"/>
      <c r="G17" s="158"/>
      <c r="H17" s="158"/>
      <c r="I17" s="50"/>
      <c r="J17" s="157"/>
      <c r="K17" s="157"/>
      <c r="L17" s="175"/>
      <c r="M17" s="175"/>
      <c r="N17" s="167"/>
      <c r="O17" s="175"/>
      <c r="P17" s="175"/>
      <c r="Q17" s="50"/>
      <c r="R17" s="424"/>
      <c r="S17" s="138"/>
      <c r="T17" s="197"/>
      <c r="U17" s="192"/>
      <c r="V17" s="139"/>
    </row>
    <row r="18" spans="1:23" s="163" customFormat="1" ht="23.4" hidden="1" customHeight="1">
      <c r="A18" s="428">
        <v>6</v>
      </c>
      <c r="B18" s="170"/>
      <c r="C18" s="171"/>
      <c r="D18" s="31"/>
      <c r="E18" s="31"/>
      <c r="F18" s="161"/>
      <c r="G18" s="403"/>
      <c r="H18" s="161"/>
      <c r="I18" s="401">
        <f>Table13514520105[[#This Row],[ค่าบริการรายเดือนตาม Package]]+Table13514520105[[#This Row],[รายการเบิก
คอมขายเพิ่มเติม
(เป้าตามกำหนด)
100-200%]]</f>
        <v>0</v>
      </c>
      <c r="J18" s="161"/>
      <c r="K18" s="39"/>
      <c r="L18" s="162">
        <f>IF(Table13514520105[[#This Row],[ค่าขายอุปกรณ์]]&gt;Table13514520105[[#This Row],[ต้นทุนค่าขายอุปกรณ์]],Table13514520105[[#This Row],[ต้นทุนค่าขายอุปกรณ์]]*$L$4,Table13514520105[[#This Row],[ค่าขายอุปกรณ์]]*$L$4)</f>
        <v>0</v>
      </c>
      <c r="M18" s="162">
        <f>IF(Table13514520105[[#This Row],[ค่าขายอุปกรณ์]]&gt;Table13514520105[[#This Row],[ต้นทุนค่าขายอุปกรณ์]],SUM(Table13514520105[[#This Row],[ค่าขายอุปกรณ์]]-Table13514520105[[#This Row],[ต้นทุนค่าขายอุปกรณ์]])*$M$4,0)</f>
        <v>0</v>
      </c>
      <c r="N18" s="421">
        <f>Table13514520105[[#This Row],[คอมฯอุปกรณ์
 5%]]+Table13514520105[[#This Row],[คอมฯ อุปกรณ์
25%]]</f>
        <v>0</v>
      </c>
      <c r="O18" s="162"/>
      <c r="P18" s="162"/>
      <c r="Q18"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18" s="422">
        <f>Table13514520105[[#This Row],[รายการเบิก
คอมขาย]]+Table13514520105[[#This Row],[Total
คอมฯ อุปกรณ์]]+Table13514520105[[#This Row],[Total 
คอมฯค่าติดตั้ง/ค่าเชื่อมสัญญาณ]]</f>
        <v>0</v>
      </c>
      <c r="S18" s="270"/>
      <c r="T18" s="195"/>
      <c r="U18" s="374"/>
      <c r="V18" s="3"/>
    </row>
    <row r="19" spans="1:23" s="163" customFormat="1" ht="23.4" hidden="1" customHeight="1">
      <c r="A19" s="429">
        <v>7.1</v>
      </c>
      <c r="B19" s="172"/>
      <c r="C19" s="182"/>
      <c r="D19" s="156"/>
      <c r="E19" s="156"/>
      <c r="F19" s="157"/>
      <c r="G19" s="158"/>
      <c r="H19" s="158"/>
      <c r="I19" s="49"/>
      <c r="J19" s="135"/>
      <c r="K19" s="140"/>
      <c r="L19" s="174"/>
      <c r="M19" s="175"/>
      <c r="N19" s="167"/>
      <c r="O19" s="175"/>
      <c r="P19" s="175"/>
      <c r="Q19" s="49"/>
      <c r="R19" s="423"/>
      <c r="S19" s="273"/>
      <c r="T19" s="375"/>
      <c r="U19" s="376"/>
      <c r="V19" s="3"/>
    </row>
    <row r="20" spans="1:23" s="163" customFormat="1" ht="23.4" hidden="1" customHeight="1" thickBot="1">
      <c r="A20" s="168">
        <v>7.2</v>
      </c>
      <c r="B20" s="165"/>
      <c r="C20" s="122"/>
      <c r="D20" s="156"/>
      <c r="E20" s="156"/>
      <c r="F20" s="157"/>
      <c r="G20" s="158"/>
      <c r="H20" s="158"/>
      <c r="I20" s="50"/>
      <c r="J20" s="157"/>
      <c r="K20" s="157"/>
      <c r="L20" s="175"/>
      <c r="M20" s="175"/>
      <c r="N20" s="167"/>
      <c r="O20" s="175"/>
      <c r="P20" s="175"/>
      <c r="Q20" s="50"/>
      <c r="R20" s="424"/>
      <c r="S20" s="275"/>
      <c r="T20" s="197"/>
      <c r="U20" s="36"/>
      <c r="V20" s="3"/>
    </row>
    <row r="21" spans="1:23" s="163" customFormat="1" ht="23.4" hidden="1" customHeight="1">
      <c r="A21" s="428">
        <v>7</v>
      </c>
      <c r="B21" s="430"/>
      <c r="C21" s="171"/>
      <c r="D21" s="31"/>
      <c r="E21" s="31"/>
      <c r="F21" s="161"/>
      <c r="G21" s="403"/>
      <c r="H21" s="161"/>
      <c r="I21" s="401">
        <f>Table13514520105[[#This Row],[ค่าบริการรายเดือนตาม Package]]+Table13514520105[[#This Row],[รายการเบิก
คอมขายเพิ่มเติม
(เป้าตามกำหนด)
100-200%]]</f>
        <v>0</v>
      </c>
      <c r="J21" s="161"/>
      <c r="K21" s="202"/>
      <c r="L21" s="162">
        <f>IF(Table13514520105[[#This Row],[ค่าขายอุปกรณ์]]&gt;Table13514520105[[#This Row],[ต้นทุนค่าขายอุปกรณ์]],Table13514520105[[#This Row],[ต้นทุนค่าขายอุปกรณ์]]*$L$4,Table13514520105[[#This Row],[ค่าขายอุปกรณ์]]*$L$4)</f>
        <v>0</v>
      </c>
      <c r="M21" s="162">
        <f>IF(Table13514520105[[#This Row],[ค่าขายอุปกรณ์]]&gt;Table13514520105[[#This Row],[ต้นทุนค่าขายอุปกรณ์]],SUM(Table13514520105[[#This Row],[ค่าขายอุปกรณ์]]-Table13514520105[[#This Row],[ต้นทุนค่าขายอุปกรณ์]])*$M$4,0)</f>
        <v>0</v>
      </c>
      <c r="N21" s="421">
        <f>Table13514520105[[#This Row],[คอมฯอุปกรณ์
 5%]]+Table13514520105[[#This Row],[คอมฯ อุปกรณ์
25%]]</f>
        <v>0</v>
      </c>
      <c r="O21" s="162"/>
      <c r="P21" s="202"/>
      <c r="Q21"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1" s="422">
        <f>Table13514520105[[#This Row],[รายการเบิก
คอมขาย]]+Table13514520105[[#This Row],[Total
คอมฯ อุปกรณ์]]+Table13514520105[[#This Row],[Total 
คอมฯค่าติดตั้ง/ค่าเชื่อมสัญญาณ]]</f>
        <v>0</v>
      </c>
      <c r="S21" s="270"/>
      <c r="T21" s="195"/>
      <c r="U21" s="374"/>
      <c r="V21" s="3"/>
    </row>
    <row r="22" spans="1:23" s="163" customFormat="1" ht="23.4" hidden="1" customHeight="1">
      <c r="A22" s="429">
        <v>8.1</v>
      </c>
      <c r="B22" s="165"/>
      <c r="C22" s="427"/>
      <c r="D22" s="156"/>
      <c r="E22" s="156"/>
      <c r="F22" s="157"/>
      <c r="G22" s="158"/>
      <c r="H22" s="158"/>
      <c r="I22" s="49"/>
      <c r="J22" s="135"/>
      <c r="K22" s="140"/>
      <c r="L22" s="174"/>
      <c r="M22" s="175"/>
      <c r="N22" s="167"/>
      <c r="O22" s="175"/>
      <c r="P22" s="175"/>
      <c r="Q22" s="49"/>
      <c r="R22" s="423"/>
      <c r="S22" s="136"/>
      <c r="T22" s="274"/>
      <c r="U22" s="376"/>
      <c r="V22" s="3"/>
    </row>
    <row r="23" spans="1:23" s="163" customFormat="1" ht="82.2" hidden="1" customHeight="1" thickBot="1">
      <c r="A23" s="168">
        <v>8.1999999999999993</v>
      </c>
      <c r="B23" s="165"/>
      <c r="C23" s="420"/>
      <c r="D23" s="156"/>
      <c r="E23" s="156"/>
      <c r="F23" s="157"/>
      <c r="G23" s="158"/>
      <c r="H23" s="158"/>
      <c r="I23" s="50"/>
      <c r="J23" s="157"/>
      <c r="K23" s="157"/>
      <c r="L23" s="175"/>
      <c r="M23" s="175"/>
      <c r="N23" s="167"/>
      <c r="O23" s="175"/>
      <c r="P23" s="175"/>
      <c r="Q23" s="50"/>
      <c r="R23" s="424"/>
      <c r="S23" s="275"/>
      <c r="T23" s="267"/>
      <c r="U23" s="36"/>
      <c r="V23" s="279"/>
    </row>
    <row r="24" spans="1:23" ht="22.95" hidden="1" customHeight="1">
      <c r="A24" s="425">
        <v>8</v>
      </c>
      <c r="B24" s="426"/>
      <c r="C24" s="171"/>
      <c r="D24" s="31"/>
      <c r="E24" s="31"/>
      <c r="F24" s="161"/>
      <c r="G24" s="431"/>
      <c r="H24" s="161"/>
      <c r="I24" s="401">
        <f>Table13514520105[[#This Row],[ค่าบริการรายเดือนตาม Package]]+Table13514520105[[#This Row],[รายการเบิก
คอมขายเพิ่มเติม
(เป้าตามกำหนด)
100-200%]]</f>
        <v>0</v>
      </c>
      <c r="J24" s="161"/>
      <c r="K24" s="202"/>
      <c r="L24" s="162">
        <f>IF(Table13514520105[[#This Row],[ค่าขายอุปกรณ์]]&gt;Table13514520105[[#This Row],[ต้นทุนค่าขายอุปกรณ์]],Table13514520105[[#This Row],[ต้นทุนค่าขายอุปกรณ์]]*$L$4,Table13514520105[[#This Row],[ค่าขายอุปกรณ์]]*$L$4)</f>
        <v>0</v>
      </c>
      <c r="M24" s="162">
        <f>IF(Table13514520105[[#This Row],[ค่าขายอุปกรณ์]]&gt;Table13514520105[[#This Row],[ต้นทุนค่าขายอุปกรณ์]],SUM(Table13514520105[[#This Row],[ค่าขายอุปกรณ์]]-Table13514520105[[#This Row],[ต้นทุนค่าขายอุปกรณ์]])*$M$4,0)</f>
        <v>0</v>
      </c>
      <c r="N24" s="421">
        <f>Table13514520105[[#This Row],[คอมฯอุปกรณ์
 5%]]+Table13514520105[[#This Row],[คอมฯ อุปกรณ์
25%]]</f>
        <v>0</v>
      </c>
      <c r="O24" s="162"/>
      <c r="P24" s="162"/>
      <c r="Q24" s="417">
        <f>IF(Table13514520105[[#This Row],[ค่าติดตั้ง/ค่าเชื่อมสัญญาณ]]&gt;Table13514520105[[#This Row],[ต้นทุนค่าติดตั้ง/ค่าเชื่อมสัญญาณ]],SUM(Table13514520105[[#This Row],[ค่าติดตั้ง/ค่าเชื่อมสัญญาณ]]-Table13514520105[[#This Row],[ต้นทุนค่าติดตั้ง/ค่าเชื่อมสัญญาณ]])*$Q$4,0)</f>
        <v>0</v>
      </c>
      <c r="R24" s="422">
        <f>Table13514520105[[#This Row],[รายการเบิก
คอมขาย]]+Table13514520105[[#This Row],[Total
คอมฯ อุปกรณ์]]+Table13514520105[[#This Row],[Total 
คอมฯค่าติดตั้ง/ค่าเชื่อมสัญญาณ]]</f>
        <v>0</v>
      </c>
      <c r="S24" s="270"/>
      <c r="T24" s="258"/>
      <c r="U24" s="374"/>
      <c r="V24" s="3"/>
      <c r="W24" s="3"/>
    </row>
    <row r="25" spans="1:23" s="163" customFormat="1" ht="23.4" hidden="1" customHeight="1">
      <c r="A25" s="429">
        <v>9.1</v>
      </c>
      <c r="B25" s="165"/>
      <c r="C25" s="427"/>
      <c r="D25" s="156"/>
      <c r="E25" s="156"/>
      <c r="F25" s="157"/>
      <c r="G25" s="158"/>
      <c r="H25" s="158"/>
      <c r="I25" s="49"/>
      <c r="J25" s="135"/>
      <c r="K25" s="140"/>
      <c r="L25" s="174"/>
      <c r="M25" s="175"/>
      <c r="N25" s="167"/>
      <c r="O25" s="175"/>
      <c r="P25" s="175"/>
      <c r="Q25" s="49"/>
      <c r="R25" s="423"/>
      <c r="S25" s="273"/>
      <c r="T25" s="274"/>
      <c r="U25" s="376"/>
      <c r="V25" s="3"/>
    </row>
    <row r="26" spans="1:23" ht="25.5" hidden="1" customHeight="1">
      <c r="A26" s="168">
        <v>9.1999999999999993</v>
      </c>
      <c r="B26" s="165"/>
      <c r="C26" s="122"/>
      <c r="D26" s="156"/>
      <c r="E26" s="156"/>
      <c r="F26" s="157"/>
      <c r="G26" s="158"/>
      <c r="H26" s="158"/>
      <c r="I26" s="50"/>
      <c r="J26" s="157"/>
      <c r="K26" s="157"/>
      <c r="L26" s="175"/>
      <c r="M26" s="175"/>
      <c r="N26" s="167"/>
      <c r="O26" s="175"/>
      <c r="P26" s="175"/>
      <c r="Q26" s="50"/>
      <c r="R26" s="424"/>
      <c r="S26" s="377"/>
      <c r="T26" s="378"/>
      <c r="U26" s="379"/>
      <c r="V26" s="279"/>
      <c r="W26" s="3"/>
    </row>
    <row r="27" spans="1:23" ht="29.25" customHeight="1" thickBot="1">
      <c r="A27" s="146"/>
      <c r="B27" s="147"/>
      <c r="C27" s="148" t="s">
        <v>5</v>
      </c>
      <c r="D27" s="149"/>
      <c r="E27" s="149"/>
      <c r="F27" s="179">
        <f>SUBTOTAL(109,Table13514520105[ค่าบริการรายเดือนตาม Package])</f>
        <v>4542.0600000000004</v>
      </c>
      <c r="G27" s="150"/>
      <c r="H27" s="179">
        <f>SUBTOTAL(109,Table13514520105[รายการเบิก
คอมขายเพิ่มเติม
(เป้าตามกำหนด)
100-200%])</f>
        <v>0</v>
      </c>
      <c r="I27" s="179">
        <f>SUBTOTAL(109,Table13514520105[รายการเบิก
คอมขาย])</f>
        <v>4542.0600000000004</v>
      </c>
      <c r="J27" s="179">
        <f>SUBTOTAL(109,Table13514520105[ค่าขายอุปกรณ์])</f>
        <v>0</v>
      </c>
      <c r="K27" s="179">
        <f>SUBTOTAL(109,Table13514520105[ต้นทุนค่าขายอุปกรณ์])</f>
        <v>0</v>
      </c>
      <c r="L27" s="179">
        <f>SUBTOTAL(109,Table13514520105[คอมฯอุปกรณ์
 5%])</f>
        <v>0</v>
      </c>
      <c r="M27" s="179">
        <f>SUBTOTAL(109,Table13514520105[คอมฯ อุปกรณ์
25%])</f>
        <v>0</v>
      </c>
      <c r="N27" s="179"/>
      <c r="O27" s="179"/>
      <c r="P27" s="179"/>
      <c r="Q27" s="179">
        <f>SUBTOTAL(109,Table13514520105[Total 
คอมฯค่าติดตั้ง/ค่าเชื่อมสัญญาณ])</f>
        <v>0</v>
      </c>
      <c r="R27" s="181">
        <f>SUBTOTAL(109,Table13514520105[รวมค่าคอมฯ])</f>
        <v>4542.0600000000004</v>
      </c>
      <c r="S27" s="150">
        <f>SUBTOTAL(109,Table13514520105[เลขที่ใบกำกับ/ใบเสร็จรับเงิน])</f>
        <v>0</v>
      </c>
      <c r="T27" s="201">
        <f>SUBTOTAL(109,Table13514520105[เลขที่นำส่งเงิน
])</f>
        <v>0</v>
      </c>
      <c r="U27" s="194"/>
      <c r="V27" s="432"/>
      <c r="W27" s="3"/>
    </row>
    <row r="28" spans="1:23" ht="15.6">
      <c r="A28" s="22"/>
      <c r="B28" s="22"/>
      <c r="C28" s="23"/>
      <c r="D28" s="23"/>
      <c r="E28" s="23"/>
      <c r="F28" s="11"/>
      <c r="G28" s="27"/>
      <c r="H28" s="27"/>
      <c r="I28" s="11"/>
      <c r="J28" s="11"/>
      <c r="K28" s="11"/>
      <c r="L28" s="24"/>
      <c r="M28" s="24"/>
      <c r="N28" s="24"/>
      <c r="O28" s="24"/>
      <c r="P28" s="24"/>
      <c r="Q28" s="11"/>
      <c r="R28" s="11"/>
      <c r="S28" s="26"/>
      <c r="T28" s="25"/>
      <c r="U28" s="26"/>
      <c r="W28" s="26"/>
    </row>
    <row r="29" spans="1:23" ht="28.5" customHeight="1">
      <c r="L29" s="37"/>
      <c r="M29" s="37"/>
      <c r="N29" s="37"/>
      <c r="O29" s="37"/>
      <c r="P29" s="37"/>
      <c r="S29" s="28"/>
      <c r="U29" s="28"/>
    </row>
    <row r="30" spans="1:23" ht="28.5" customHeight="1">
      <c r="S30" s="4"/>
      <c r="U30" s="4"/>
    </row>
    <row r="31" spans="1:23" ht="28.5" hidden="1" customHeight="1">
      <c r="S31" s="29"/>
      <c r="T31" s="144"/>
      <c r="U31" s="29"/>
    </row>
    <row r="32" spans="1:23" ht="28.5" hidden="1" customHeight="1">
      <c r="S32" s="29"/>
      <c r="T32" s="144"/>
      <c r="U32" s="29"/>
    </row>
    <row r="33" spans="3:5" ht="15" hidden="1">
      <c r="C33" s="4"/>
      <c r="D33" s="37"/>
      <c r="E33" s="37"/>
    </row>
    <row r="34" spans="3:5" ht="15" hidden="1">
      <c r="C34" s="30"/>
      <c r="D34" s="38"/>
      <c r="E34" s="38"/>
    </row>
    <row r="35" spans="3:5" ht="15" hidden="1"/>
    <row r="163" spans="10:10" ht="15" hidden="1">
      <c r="J163" s="37">
        <v>3</v>
      </c>
    </row>
  </sheetData>
  <sheetProtection formatCells="0" insertRows="0" insertHyperlinks="0" deleteRows="0" sort="0" autoFilter="0" pivotTables="0"/>
  <phoneticPr fontId="20" type="noConversion"/>
  <dataValidations count="3">
    <dataValidation type="list" allowBlank="1" showInputMessage="1" showErrorMessage="1" sqref="JH65533:JH65562 TD65533:TD65562 ACZ65533:ACZ65562 AMV65533:AMV65562 AWR65533:AWR65562 BGN65533:BGN65562 BQJ65533:BQJ65562 CAF65533:CAF65562 CKB65533:CKB65562 CTX65533:CTX65562 DDT65533:DDT65562 DNP65533:DNP65562 DXL65533:DXL65562 EHH65533:EHH65562 ERD65533:ERD65562 FAZ65533:FAZ65562 FKV65533:FKV65562 FUR65533:FUR65562 GEN65533:GEN65562 GOJ65533:GOJ65562 GYF65533:GYF65562 HIB65533:HIB65562 HRX65533:HRX65562 IBT65533:IBT65562 ILP65533:ILP65562 IVL65533:IVL65562 JFH65533:JFH65562 JPD65533:JPD65562 JYZ65533:JYZ65562 KIV65533:KIV65562 KSR65533:KSR65562 LCN65533:LCN65562 LMJ65533:LMJ65562 LWF65533:LWF65562 MGB65533:MGB65562 MPX65533:MPX65562 MZT65533:MZT65562 NJP65533:NJP65562 NTL65533:NTL65562 ODH65533:ODH65562 OND65533:OND65562 OWZ65533:OWZ65562 PGV65533:PGV65562 PQR65533:PQR65562 QAN65533:QAN65562 QKJ65533:QKJ65562 QUF65533:QUF65562 REB65533:REB65562 RNX65533:RNX65562 RXT65533:RXT65562 SHP65533:SHP65562 SRL65533:SRL65562 TBH65533:TBH65562 TLD65533:TLD65562 TUZ65533:TUZ65562 UEV65533:UEV65562 UOR65533:UOR65562 UYN65533:UYN65562 VIJ65533:VIJ65562 VSF65533:VSF65562 WCB65533:WCB65562 WLX65533:WLX65562 WVT65533:WVT65562 JH131069:JH131098 TD131069:TD131098 ACZ131069:ACZ131098 AMV131069:AMV131098 AWR131069:AWR131098 BGN131069:BGN131098 BQJ131069:BQJ131098 CAF131069:CAF131098 CKB131069:CKB131098 CTX131069:CTX131098 DDT131069:DDT131098 DNP131069:DNP131098 DXL131069:DXL131098 EHH131069:EHH131098 ERD131069:ERD131098 FAZ131069:FAZ131098 FKV131069:FKV131098 FUR131069:FUR131098 GEN131069:GEN131098 GOJ131069:GOJ131098 GYF131069:GYF131098 HIB131069:HIB131098 HRX131069:HRX131098 IBT131069:IBT131098 ILP131069:ILP131098 IVL131069:IVL131098 JFH131069:JFH131098 JPD131069:JPD131098 JYZ131069:JYZ131098 KIV131069:KIV131098 KSR131069:KSR131098 LCN131069:LCN131098 LMJ131069:LMJ131098 LWF131069:LWF131098 MGB131069:MGB131098 MPX131069:MPX131098 MZT131069:MZT131098 NJP131069:NJP131098 NTL131069:NTL131098 ODH131069:ODH131098 OND131069:OND131098 OWZ131069:OWZ131098 PGV131069:PGV131098 PQR131069:PQR131098 QAN131069:QAN131098 QKJ131069:QKJ131098 QUF131069:QUF131098 REB131069:REB131098 RNX131069:RNX131098 RXT131069:RXT131098 SHP131069:SHP131098 SRL131069:SRL131098 TBH131069:TBH131098 TLD131069:TLD131098 TUZ131069:TUZ131098 UEV131069:UEV131098 UOR131069:UOR131098 UYN131069:UYN131098 VIJ131069:VIJ131098 VSF131069:VSF131098 WCB131069:WCB131098 WLX131069:WLX131098 WVT131069:WVT131098 JH196605:JH196634 TD196605:TD196634 ACZ196605:ACZ196634 AMV196605:AMV196634 AWR196605:AWR196634 BGN196605:BGN196634 BQJ196605:BQJ196634 CAF196605:CAF196634 CKB196605:CKB196634 CTX196605:CTX196634 DDT196605:DDT196634 DNP196605:DNP196634 DXL196605:DXL196634 EHH196605:EHH196634 ERD196605:ERD196634 FAZ196605:FAZ196634 FKV196605:FKV196634 FUR196605:FUR196634 GEN196605:GEN196634 GOJ196605:GOJ196634 GYF196605:GYF196634 HIB196605:HIB196634 HRX196605:HRX196634 IBT196605:IBT196634 ILP196605:ILP196634 IVL196605:IVL196634 JFH196605:JFH196634 JPD196605:JPD196634 JYZ196605:JYZ196634 KIV196605:KIV196634 KSR196605:KSR196634 LCN196605:LCN196634 LMJ196605:LMJ196634 LWF196605:LWF196634 MGB196605:MGB196634 MPX196605:MPX196634 MZT196605:MZT196634 NJP196605:NJP196634 NTL196605:NTL196634 ODH196605:ODH196634 OND196605:OND196634 OWZ196605:OWZ196634 PGV196605:PGV196634 PQR196605:PQR196634 QAN196605:QAN196634 QKJ196605:QKJ196634 QUF196605:QUF196634 REB196605:REB196634 RNX196605:RNX196634 RXT196605:RXT196634 SHP196605:SHP196634 SRL196605:SRL196634 TBH196605:TBH196634 TLD196605:TLD196634 TUZ196605:TUZ196634 UEV196605:UEV196634 UOR196605:UOR196634 UYN196605:UYN196634 VIJ196605:VIJ196634 VSF196605:VSF196634 WCB196605:WCB196634 WLX196605:WLX196634 WVT196605:WVT196634 JH262141:JH262170 TD262141:TD262170 ACZ262141:ACZ262170 AMV262141:AMV262170 AWR262141:AWR262170 BGN262141:BGN262170 BQJ262141:BQJ262170 CAF262141:CAF262170 CKB262141:CKB262170 CTX262141:CTX262170 DDT262141:DDT262170 DNP262141:DNP262170 DXL262141:DXL262170 EHH262141:EHH262170 ERD262141:ERD262170 FAZ262141:FAZ262170 FKV262141:FKV262170 FUR262141:FUR262170 GEN262141:GEN262170 GOJ262141:GOJ262170 GYF262141:GYF262170 HIB262141:HIB262170 HRX262141:HRX262170 IBT262141:IBT262170 ILP262141:ILP262170 IVL262141:IVL262170 JFH262141:JFH262170 JPD262141:JPD262170 JYZ262141:JYZ262170 KIV262141:KIV262170 KSR262141:KSR262170 LCN262141:LCN262170 LMJ262141:LMJ262170 LWF262141:LWF262170 MGB262141:MGB262170 MPX262141:MPX262170 MZT262141:MZT262170 NJP262141:NJP262170 NTL262141:NTL262170 ODH262141:ODH262170 OND262141:OND262170 OWZ262141:OWZ262170 PGV262141:PGV262170 PQR262141:PQR262170 QAN262141:QAN262170 QKJ262141:QKJ262170 QUF262141:QUF262170 REB262141:REB262170 RNX262141:RNX262170 RXT262141:RXT262170 SHP262141:SHP262170 SRL262141:SRL262170 TBH262141:TBH262170 TLD262141:TLD262170 TUZ262141:TUZ262170 UEV262141:UEV262170 UOR262141:UOR262170 UYN262141:UYN262170 VIJ262141:VIJ262170 VSF262141:VSF262170 WCB262141:WCB262170 WLX262141:WLX262170 WVT262141:WVT262170 JH327677:JH327706 TD327677:TD327706 ACZ327677:ACZ327706 AMV327677:AMV327706 AWR327677:AWR327706 BGN327677:BGN327706 BQJ327677:BQJ327706 CAF327677:CAF327706 CKB327677:CKB327706 CTX327677:CTX327706 DDT327677:DDT327706 DNP327677:DNP327706 DXL327677:DXL327706 EHH327677:EHH327706 ERD327677:ERD327706 FAZ327677:FAZ327706 FKV327677:FKV327706 FUR327677:FUR327706 GEN327677:GEN327706 GOJ327677:GOJ327706 GYF327677:GYF327706 HIB327677:HIB327706 HRX327677:HRX327706 IBT327677:IBT327706 ILP327677:ILP327706 IVL327677:IVL327706 JFH327677:JFH327706 JPD327677:JPD327706 JYZ327677:JYZ327706 KIV327677:KIV327706 KSR327677:KSR327706 LCN327677:LCN327706 LMJ327677:LMJ327706 LWF327677:LWF327706 MGB327677:MGB327706 MPX327677:MPX327706 MZT327677:MZT327706 NJP327677:NJP327706 NTL327677:NTL327706 ODH327677:ODH327706 OND327677:OND327706 OWZ327677:OWZ327706 PGV327677:PGV327706 PQR327677:PQR327706 QAN327677:QAN327706 QKJ327677:QKJ327706 QUF327677:QUF327706 REB327677:REB327706 RNX327677:RNX327706 RXT327677:RXT327706 SHP327677:SHP327706 SRL327677:SRL327706 TBH327677:TBH327706 TLD327677:TLD327706 TUZ327677:TUZ327706 UEV327677:UEV327706 UOR327677:UOR327706 UYN327677:UYN327706 VIJ327677:VIJ327706 VSF327677:VSF327706 WCB327677:WCB327706 WLX327677:WLX327706 WVT327677:WVT327706 JH393213:JH393242 TD393213:TD393242 ACZ393213:ACZ393242 AMV393213:AMV393242 AWR393213:AWR393242 BGN393213:BGN393242 BQJ393213:BQJ393242 CAF393213:CAF393242 CKB393213:CKB393242 CTX393213:CTX393242 DDT393213:DDT393242 DNP393213:DNP393242 DXL393213:DXL393242 EHH393213:EHH393242 ERD393213:ERD393242 FAZ393213:FAZ393242 FKV393213:FKV393242 FUR393213:FUR393242 GEN393213:GEN393242 GOJ393213:GOJ393242 GYF393213:GYF393242 HIB393213:HIB393242 HRX393213:HRX393242 IBT393213:IBT393242 ILP393213:ILP393242 IVL393213:IVL393242 JFH393213:JFH393242 JPD393213:JPD393242 JYZ393213:JYZ393242 KIV393213:KIV393242 KSR393213:KSR393242 LCN393213:LCN393242 LMJ393213:LMJ393242 LWF393213:LWF393242 MGB393213:MGB393242 MPX393213:MPX393242 MZT393213:MZT393242 NJP393213:NJP393242 NTL393213:NTL393242 ODH393213:ODH393242 OND393213:OND393242 OWZ393213:OWZ393242 PGV393213:PGV393242 PQR393213:PQR393242 QAN393213:QAN393242 QKJ393213:QKJ393242 QUF393213:QUF393242 REB393213:REB393242 RNX393213:RNX393242 RXT393213:RXT393242 SHP393213:SHP393242 SRL393213:SRL393242 TBH393213:TBH393242 TLD393213:TLD393242 TUZ393213:TUZ393242 UEV393213:UEV393242 UOR393213:UOR393242 UYN393213:UYN393242 VIJ393213:VIJ393242 VSF393213:VSF393242 WCB393213:WCB393242 WLX393213:WLX393242 WVT393213:WVT393242 JH458749:JH458778 TD458749:TD458778 ACZ458749:ACZ458778 AMV458749:AMV458778 AWR458749:AWR458778 BGN458749:BGN458778 BQJ458749:BQJ458778 CAF458749:CAF458778 CKB458749:CKB458778 CTX458749:CTX458778 DDT458749:DDT458778 DNP458749:DNP458778 DXL458749:DXL458778 EHH458749:EHH458778 ERD458749:ERD458778 FAZ458749:FAZ458778 FKV458749:FKV458778 FUR458749:FUR458778 GEN458749:GEN458778 GOJ458749:GOJ458778 GYF458749:GYF458778 HIB458749:HIB458778 HRX458749:HRX458778 IBT458749:IBT458778 ILP458749:ILP458778 IVL458749:IVL458778 JFH458749:JFH458778 JPD458749:JPD458778 JYZ458749:JYZ458778 KIV458749:KIV458778 KSR458749:KSR458778 LCN458749:LCN458778 LMJ458749:LMJ458778 LWF458749:LWF458778 MGB458749:MGB458778 MPX458749:MPX458778 MZT458749:MZT458778 NJP458749:NJP458778 NTL458749:NTL458778 ODH458749:ODH458778 OND458749:OND458778 OWZ458749:OWZ458778 PGV458749:PGV458778 PQR458749:PQR458778 QAN458749:QAN458778 QKJ458749:QKJ458778 QUF458749:QUF458778 REB458749:REB458778 RNX458749:RNX458778 RXT458749:RXT458778 SHP458749:SHP458778 SRL458749:SRL458778 TBH458749:TBH458778 TLD458749:TLD458778 TUZ458749:TUZ458778 UEV458749:UEV458778 UOR458749:UOR458778 UYN458749:UYN458778 VIJ458749:VIJ458778 VSF458749:VSF458778 WCB458749:WCB458778 WLX458749:WLX458778 WVT458749:WVT458778 JH524285:JH524314 TD524285:TD524314 ACZ524285:ACZ524314 AMV524285:AMV524314 AWR524285:AWR524314 BGN524285:BGN524314 BQJ524285:BQJ524314 CAF524285:CAF524314 CKB524285:CKB524314 CTX524285:CTX524314 DDT524285:DDT524314 DNP524285:DNP524314 DXL524285:DXL524314 EHH524285:EHH524314 ERD524285:ERD524314 FAZ524285:FAZ524314 FKV524285:FKV524314 FUR524285:FUR524314 GEN524285:GEN524314 GOJ524285:GOJ524314 GYF524285:GYF524314 HIB524285:HIB524314 HRX524285:HRX524314 IBT524285:IBT524314 ILP524285:ILP524314 IVL524285:IVL524314 JFH524285:JFH524314 JPD524285:JPD524314 JYZ524285:JYZ524314 KIV524285:KIV524314 KSR524285:KSR524314 LCN524285:LCN524314 LMJ524285:LMJ524314 LWF524285:LWF524314 MGB524285:MGB524314 MPX524285:MPX524314 MZT524285:MZT524314 NJP524285:NJP524314 NTL524285:NTL524314 ODH524285:ODH524314 OND524285:OND524314 OWZ524285:OWZ524314 PGV524285:PGV524314 PQR524285:PQR524314 QAN524285:QAN524314 QKJ524285:QKJ524314 QUF524285:QUF524314 REB524285:REB524314 RNX524285:RNX524314 RXT524285:RXT524314 SHP524285:SHP524314 SRL524285:SRL524314 TBH524285:TBH524314 TLD524285:TLD524314 TUZ524285:TUZ524314 UEV524285:UEV524314 UOR524285:UOR524314 UYN524285:UYN524314 VIJ524285:VIJ524314 VSF524285:VSF524314 WCB524285:WCB524314 WLX524285:WLX524314 WVT524285:WVT524314 JH589821:JH589850 TD589821:TD589850 ACZ589821:ACZ589850 AMV589821:AMV589850 AWR589821:AWR589850 BGN589821:BGN589850 BQJ589821:BQJ589850 CAF589821:CAF589850 CKB589821:CKB589850 CTX589821:CTX589850 DDT589821:DDT589850 DNP589821:DNP589850 DXL589821:DXL589850 EHH589821:EHH589850 ERD589821:ERD589850 FAZ589821:FAZ589850 FKV589821:FKV589850 FUR589821:FUR589850 GEN589821:GEN589850 GOJ589821:GOJ589850 GYF589821:GYF589850 HIB589821:HIB589850 HRX589821:HRX589850 IBT589821:IBT589850 ILP589821:ILP589850 IVL589821:IVL589850 JFH589821:JFH589850 JPD589821:JPD589850 JYZ589821:JYZ589850 KIV589821:KIV589850 KSR589821:KSR589850 LCN589821:LCN589850 LMJ589821:LMJ589850 LWF589821:LWF589850 MGB589821:MGB589850 MPX589821:MPX589850 MZT589821:MZT589850 NJP589821:NJP589850 NTL589821:NTL589850 ODH589821:ODH589850 OND589821:OND589850 OWZ589821:OWZ589850 PGV589821:PGV589850 PQR589821:PQR589850 QAN589821:QAN589850 QKJ589821:QKJ589850 QUF589821:QUF589850 REB589821:REB589850 RNX589821:RNX589850 RXT589821:RXT589850 SHP589821:SHP589850 SRL589821:SRL589850 TBH589821:TBH589850 TLD589821:TLD589850 TUZ589821:TUZ589850 UEV589821:UEV589850 UOR589821:UOR589850 UYN589821:UYN589850 VIJ589821:VIJ589850 VSF589821:VSF589850 WCB589821:WCB589850 WLX589821:WLX589850 WVT589821:WVT589850 JH655357:JH655386 TD655357:TD655386 ACZ655357:ACZ655386 AMV655357:AMV655386 AWR655357:AWR655386 BGN655357:BGN655386 BQJ655357:BQJ655386 CAF655357:CAF655386 CKB655357:CKB655386 CTX655357:CTX655386 DDT655357:DDT655386 DNP655357:DNP655386 DXL655357:DXL655386 EHH655357:EHH655386 ERD655357:ERD655386 FAZ655357:FAZ655386 FKV655357:FKV655386 FUR655357:FUR655386 GEN655357:GEN655386 GOJ655357:GOJ655386 GYF655357:GYF655386 HIB655357:HIB655386 HRX655357:HRX655386 IBT655357:IBT655386 ILP655357:ILP655386 IVL655357:IVL655386 JFH655357:JFH655386 JPD655357:JPD655386 JYZ655357:JYZ655386 KIV655357:KIV655386 KSR655357:KSR655386 LCN655357:LCN655386 LMJ655357:LMJ655386 LWF655357:LWF655386 MGB655357:MGB655386 MPX655357:MPX655386 MZT655357:MZT655386 NJP655357:NJP655386 NTL655357:NTL655386 ODH655357:ODH655386 OND655357:OND655386 OWZ655357:OWZ655386 PGV655357:PGV655386 PQR655357:PQR655386 QAN655357:QAN655386 QKJ655357:QKJ655386 QUF655357:QUF655386 REB655357:REB655386 RNX655357:RNX655386 RXT655357:RXT655386 SHP655357:SHP655386 SRL655357:SRL655386 TBH655357:TBH655386 TLD655357:TLD655386 TUZ655357:TUZ655386 UEV655357:UEV655386 UOR655357:UOR655386 UYN655357:UYN655386 VIJ655357:VIJ655386 VSF655357:VSF655386 WCB655357:WCB655386 WLX655357:WLX655386 WVT655357:WVT655386 JH720893:JH720922 TD720893:TD720922 ACZ720893:ACZ720922 AMV720893:AMV720922 AWR720893:AWR720922 BGN720893:BGN720922 BQJ720893:BQJ720922 CAF720893:CAF720922 CKB720893:CKB720922 CTX720893:CTX720922 DDT720893:DDT720922 DNP720893:DNP720922 DXL720893:DXL720922 EHH720893:EHH720922 ERD720893:ERD720922 FAZ720893:FAZ720922 FKV720893:FKV720922 FUR720893:FUR720922 GEN720893:GEN720922 GOJ720893:GOJ720922 GYF720893:GYF720922 HIB720893:HIB720922 HRX720893:HRX720922 IBT720893:IBT720922 ILP720893:ILP720922 IVL720893:IVL720922 JFH720893:JFH720922 JPD720893:JPD720922 JYZ720893:JYZ720922 KIV720893:KIV720922 KSR720893:KSR720922 LCN720893:LCN720922 LMJ720893:LMJ720922 LWF720893:LWF720922 MGB720893:MGB720922 MPX720893:MPX720922 MZT720893:MZT720922 NJP720893:NJP720922 NTL720893:NTL720922 ODH720893:ODH720922 OND720893:OND720922 OWZ720893:OWZ720922 PGV720893:PGV720922 PQR720893:PQR720922 QAN720893:QAN720922 QKJ720893:QKJ720922 QUF720893:QUF720922 REB720893:REB720922 RNX720893:RNX720922 RXT720893:RXT720922 SHP720893:SHP720922 SRL720893:SRL720922 TBH720893:TBH720922 TLD720893:TLD720922 TUZ720893:TUZ720922 UEV720893:UEV720922 UOR720893:UOR720922 UYN720893:UYN720922 VIJ720893:VIJ720922 VSF720893:VSF720922 WCB720893:WCB720922 WLX720893:WLX720922 WVT720893:WVT720922 JH786429:JH786458 TD786429:TD786458 ACZ786429:ACZ786458 AMV786429:AMV786458 AWR786429:AWR786458 BGN786429:BGN786458 BQJ786429:BQJ786458 CAF786429:CAF786458 CKB786429:CKB786458 CTX786429:CTX786458 DDT786429:DDT786458 DNP786429:DNP786458 DXL786429:DXL786458 EHH786429:EHH786458 ERD786429:ERD786458 FAZ786429:FAZ786458 FKV786429:FKV786458 FUR786429:FUR786458 GEN786429:GEN786458 GOJ786429:GOJ786458 GYF786429:GYF786458 HIB786429:HIB786458 HRX786429:HRX786458 IBT786429:IBT786458 ILP786429:ILP786458 IVL786429:IVL786458 JFH786429:JFH786458 JPD786429:JPD786458 JYZ786429:JYZ786458 KIV786429:KIV786458 KSR786429:KSR786458 LCN786429:LCN786458 LMJ786429:LMJ786458 LWF786429:LWF786458 MGB786429:MGB786458 MPX786429:MPX786458 MZT786429:MZT786458 NJP786429:NJP786458 NTL786429:NTL786458 ODH786429:ODH786458 OND786429:OND786458 OWZ786429:OWZ786458 PGV786429:PGV786458 PQR786429:PQR786458 QAN786429:QAN786458 QKJ786429:QKJ786458 QUF786429:QUF786458 REB786429:REB786458 RNX786429:RNX786458 RXT786429:RXT786458 SHP786429:SHP786458 SRL786429:SRL786458 TBH786429:TBH786458 TLD786429:TLD786458 TUZ786429:TUZ786458 UEV786429:UEV786458 UOR786429:UOR786458 UYN786429:UYN786458 VIJ786429:VIJ786458 VSF786429:VSF786458 WCB786429:WCB786458 WLX786429:WLX786458 WVT786429:WVT786458 JH851965:JH851994 TD851965:TD851994 ACZ851965:ACZ851994 AMV851965:AMV851994 AWR851965:AWR851994 BGN851965:BGN851994 BQJ851965:BQJ851994 CAF851965:CAF851994 CKB851965:CKB851994 CTX851965:CTX851994 DDT851965:DDT851994 DNP851965:DNP851994 DXL851965:DXL851994 EHH851965:EHH851994 ERD851965:ERD851994 FAZ851965:FAZ851994 FKV851965:FKV851994 FUR851965:FUR851994 GEN851965:GEN851994 GOJ851965:GOJ851994 GYF851965:GYF851994 HIB851965:HIB851994 HRX851965:HRX851994 IBT851965:IBT851994 ILP851965:ILP851994 IVL851965:IVL851994 JFH851965:JFH851994 JPD851965:JPD851994 JYZ851965:JYZ851994 KIV851965:KIV851994 KSR851965:KSR851994 LCN851965:LCN851994 LMJ851965:LMJ851994 LWF851965:LWF851994 MGB851965:MGB851994 MPX851965:MPX851994 MZT851965:MZT851994 NJP851965:NJP851994 NTL851965:NTL851994 ODH851965:ODH851994 OND851965:OND851994 OWZ851965:OWZ851994 PGV851965:PGV851994 PQR851965:PQR851994 QAN851965:QAN851994 QKJ851965:QKJ851994 QUF851965:QUF851994 REB851965:REB851994 RNX851965:RNX851994 RXT851965:RXT851994 SHP851965:SHP851994 SRL851965:SRL851994 TBH851965:TBH851994 TLD851965:TLD851994 TUZ851965:TUZ851994 UEV851965:UEV851994 UOR851965:UOR851994 UYN851965:UYN851994 VIJ851965:VIJ851994 VSF851965:VSF851994 WCB851965:WCB851994 WLX851965:WLX851994 WVT851965:WVT851994 JH917501:JH917530 TD917501:TD917530 ACZ917501:ACZ917530 AMV917501:AMV917530 AWR917501:AWR917530 BGN917501:BGN917530 BQJ917501:BQJ917530 CAF917501:CAF917530 CKB917501:CKB917530 CTX917501:CTX917530 DDT917501:DDT917530 DNP917501:DNP917530 DXL917501:DXL917530 EHH917501:EHH917530 ERD917501:ERD917530 FAZ917501:FAZ917530 FKV917501:FKV917530 FUR917501:FUR917530 GEN917501:GEN917530 GOJ917501:GOJ917530 GYF917501:GYF917530 HIB917501:HIB917530 HRX917501:HRX917530 IBT917501:IBT917530 ILP917501:ILP917530 IVL917501:IVL917530 JFH917501:JFH917530 JPD917501:JPD917530 JYZ917501:JYZ917530 KIV917501:KIV917530 KSR917501:KSR917530 LCN917501:LCN917530 LMJ917501:LMJ917530 LWF917501:LWF917530 MGB917501:MGB917530 MPX917501:MPX917530 MZT917501:MZT917530 NJP917501:NJP917530 NTL917501:NTL917530 ODH917501:ODH917530 OND917501:OND917530 OWZ917501:OWZ917530 PGV917501:PGV917530 PQR917501:PQR917530 QAN917501:QAN917530 QKJ917501:QKJ917530 QUF917501:QUF917530 REB917501:REB917530 RNX917501:RNX917530 RXT917501:RXT917530 SHP917501:SHP917530 SRL917501:SRL917530 TBH917501:TBH917530 TLD917501:TLD917530 TUZ917501:TUZ917530 UEV917501:UEV917530 UOR917501:UOR917530 UYN917501:UYN917530 VIJ917501:VIJ917530 VSF917501:VSF917530 WCB917501:WCB917530 WLX917501:WLX917530 WVT917501:WVT917530 JH983037:JH983066 TD983037:TD983066 ACZ983037:ACZ983066 AMV983037:AMV983066 AWR983037:AWR983066 BGN983037:BGN983066 BQJ983037:BQJ983066 CAF983037:CAF983066 CKB983037:CKB983066 CTX983037:CTX983066 DDT983037:DDT983066 DNP983037:DNP983066 DXL983037:DXL983066 EHH983037:EHH983066 ERD983037:ERD983066 FAZ983037:FAZ983066 FKV983037:FKV983066 FUR983037:FUR983066 GEN983037:GEN983066 GOJ983037:GOJ983066 GYF983037:GYF983066 HIB983037:HIB983066 HRX983037:HRX983066 IBT983037:IBT983066 ILP983037:ILP983066 IVL983037:IVL983066 JFH983037:JFH983066 JPD983037:JPD983066 JYZ983037:JYZ983066 KIV983037:KIV983066 KSR983037:KSR983066 LCN983037:LCN983066 LMJ983037:LMJ983066 LWF983037:LWF983066 MGB983037:MGB983066 MPX983037:MPX983066 MZT983037:MZT983066 NJP983037:NJP983066 NTL983037:NTL983066 ODH983037:ODH983066 OND983037:OND983066 OWZ983037:OWZ983066 PGV983037:PGV983066 PQR983037:PQR983066 QAN983037:QAN983066 QKJ983037:QKJ983066 QUF983037:QUF983066 REB983037:REB983066 RNX983037:RNX983066 RXT983037:RXT983066 SHP983037:SHP983066 SRL983037:SRL983066 TBH983037:TBH983066 TLD983037:TLD983066 TUZ983037:TUZ983066 UEV983037:UEV983066 UOR983037:UOR983066 UYN983037:UYN983066 VIJ983037:VIJ983066 VSF983037:VSF983066 WCB983037:WCB983066 WLX983037:WLX983066 WVT983037:WVT983066 JD6:JD26 SZ6:SZ26 ACV6:ACV26 AMR6:AMR26 AWN6:AWN26 BGJ6:BGJ26 BQF6:BQF26 CAB6:CAB26 CJX6:CJX26 CTT6:CTT26 DDP6:DDP26 DNL6:DNL26 DXH6:DXH26 EHD6:EHD26 EQZ6:EQZ26 FAV6:FAV26 FKR6:FKR26 FUN6:FUN26 GEJ6:GEJ26 GOF6:GOF26 GYB6:GYB26 HHX6:HHX26 HRT6:HRT26 IBP6:IBP26 ILL6:ILL26 IVH6:IVH26 JFD6:JFD26 JOZ6:JOZ26 JYV6:JYV26 KIR6:KIR26 KSN6:KSN26 LCJ6:LCJ26 LMF6:LMF26 LWB6:LWB26 MFX6:MFX26 MPT6:MPT26 MZP6:MZP26 NJL6:NJL26 NTH6:NTH26 ODD6:ODD26 OMZ6:OMZ26 OWV6:OWV26 PGR6:PGR26 PQN6:PQN26 QAJ6:QAJ26 QKF6:QKF26 QUB6:QUB26 RDX6:RDX26 RNT6:RNT26 RXP6:RXP26 SHL6:SHL26 SRH6:SRH26 TBD6:TBD26 TKZ6:TKZ26 TUV6:TUV26 UER6:UER26 UON6:UON26 UYJ6:UYJ26 VIF6:VIF26 VSB6:VSB26 WBX6:WBX26 WLT6:WLT26 WVP6:WVP26" xr:uid="{83C497BE-C8D6-4AC4-BC4B-61BD16D3D6A2}">
      <formula1>"จันทราภรณ์, รัฏฏิการ์, คชเขม, มาร์ค,สมเด็"</formula1>
    </dataValidation>
    <dataValidation type="list" allowBlank="1" showInputMessage="1" showErrorMessage="1" sqref="WVU983037:WVU983066 JI65533:JI65562 TE65533:TE65562 ADA65533:ADA65562 AMW65533:AMW65562 AWS65533:AWS65562 BGO65533:BGO65562 BQK65533:BQK65562 CAG65533:CAG65562 CKC65533:CKC65562 CTY65533:CTY65562 DDU65533:DDU65562 DNQ65533:DNQ65562 DXM65533:DXM65562 EHI65533:EHI65562 ERE65533:ERE65562 FBA65533:FBA65562 FKW65533:FKW65562 FUS65533:FUS65562 GEO65533:GEO65562 GOK65533:GOK65562 GYG65533:GYG65562 HIC65533:HIC65562 HRY65533:HRY65562 IBU65533:IBU65562 ILQ65533:ILQ65562 IVM65533:IVM65562 JFI65533:JFI65562 JPE65533:JPE65562 JZA65533:JZA65562 KIW65533:KIW65562 KSS65533:KSS65562 LCO65533:LCO65562 LMK65533:LMK65562 LWG65533:LWG65562 MGC65533:MGC65562 MPY65533:MPY65562 MZU65533:MZU65562 NJQ65533:NJQ65562 NTM65533:NTM65562 ODI65533:ODI65562 ONE65533:ONE65562 OXA65533:OXA65562 PGW65533:PGW65562 PQS65533:PQS65562 QAO65533:QAO65562 QKK65533:QKK65562 QUG65533:QUG65562 REC65533:REC65562 RNY65533:RNY65562 RXU65533:RXU65562 SHQ65533:SHQ65562 SRM65533:SRM65562 TBI65533:TBI65562 TLE65533:TLE65562 TVA65533:TVA65562 UEW65533:UEW65562 UOS65533:UOS65562 UYO65533:UYO65562 VIK65533:VIK65562 VSG65533:VSG65562 WCC65533:WCC65562 WLY65533:WLY65562 WVU65533:WVU65562 JI131069:JI131098 TE131069:TE131098 ADA131069:ADA131098 AMW131069:AMW131098 AWS131069:AWS131098 BGO131069:BGO131098 BQK131069:BQK131098 CAG131069:CAG131098 CKC131069:CKC131098 CTY131069:CTY131098 DDU131069:DDU131098 DNQ131069:DNQ131098 DXM131069:DXM131098 EHI131069:EHI131098 ERE131069:ERE131098 FBA131069:FBA131098 FKW131069:FKW131098 FUS131069:FUS131098 GEO131069:GEO131098 GOK131069:GOK131098 GYG131069:GYG131098 HIC131069:HIC131098 HRY131069:HRY131098 IBU131069:IBU131098 ILQ131069:ILQ131098 IVM131069:IVM131098 JFI131069:JFI131098 JPE131069:JPE131098 JZA131069:JZA131098 KIW131069:KIW131098 KSS131069:KSS131098 LCO131069:LCO131098 LMK131069:LMK131098 LWG131069:LWG131098 MGC131069:MGC131098 MPY131069:MPY131098 MZU131069:MZU131098 NJQ131069:NJQ131098 NTM131069:NTM131098 ODI131069:ODI131098 ONE131069:ONE131098 OXA131069:OXA131098 PGW131069:PGW131098 PQS131069:PQS131098 QAO131069:QAO131098 QKK131069:QKK131098 QUG131069:QUG131098 REC131069:REC131098 RNY131069:RNY131098 RXU131069:RXU131098 SHQ131069:SHQ131098 SRM131069:SRM131098 TBI131069:TBI131098 TLE131069:TLE131098 TVA131069:TVA131098 UEW131069:UEW131098 UOS131069:UOS131098 UYO131069:UYO131098 VIK131069:VIK131098 VSG131069:VSG131098 WCC131069:WCC131098 WLY131069:WLY131098 WVU131069:WVU131098 JI196605:JI196634 TE196605:TE196634 ADA196605:ADA196634 AMW196605:AMW196634 AWS196605:AWS196634 BGO196605:BGO196634 BQK196605:BQK196634 CAG196605:CAG196634 CKC196605:CKC196634 CTY196605:CTY196634 DDU196605:DDU196634 DNQ196605:DNQ196634 DXM196605:DXM196634 EHI196605:EHI196634 ERE196605:ERE196634 FBA196605:FBA196634 FKW196605:FKW196634 FUS196605:FUS196634 GEO196605:GEO196634 GOK196605:GOK196634 GYG196605:GYG196634 HIC196605:HIC196634 HRY196605:HRY196634 IBU196605:IBU196634 ILQ196605:ILQ196634 IVM196605:IVM196634 JFI196605:JFI196634 JPE196605:JPE196634 JZA196605:JZA196634 KIW196605:KIW196634 KSS196605:KSS196634 LCO196605:LCO196634 LMK196605:LMK196634 LWG196605:LWG196634 MGC196605:MGC196634 MPY196605:MPY196634 MZU196605:MZU196634 NJQ196605:NJQ196634 NTM196605:NTM196634 ODI196605:ODI196634 ONE196605:ONE196634 OXA196605:OXA196634 PGW196605:PGW196634 PQS196605:PQS196634 QAO196605:QAO196634 QKK196605:QKK196634 QUG196605:QUG196634 REC196605:REC196634 RNY196605:RNY196634 RXU196605:RXU196634 SHQ196605:SHQ196634 SRM196605:SRM196634 TBI196605:TBI196634 TLE196605:TLE196634 TVA196605:TVA196634 UEW196605:UEW196634 UOS196605:UOS196634 UYO196605:UYO196634 VIK196605:VIK196634 VSG196605:VSG196634 WCC196605:WCC196634 WLY196605:WLY196634 WVU196605:WVU196634 JI262141:JI262170 TE262141:TE262170 ADA262141:ADA262170 AMW262141:AMW262170 AWS262141:AWS262170 BGO262141:BGO262170 BQK262141:BQK262170 CAG262141:CAG262170 CKC262141:CKC262170 CTY262141:CTY262170 DDU262141:DDU262170 DNQ262141:DNQ262170 DXM262141:DXM262170 EHI262141:EHI262170 ERE262141:ERE262170 FBA262141:FBA262170 FKW262141:FKW262170 FUS262141:FUS262170 GEO262141:GEO262170 GOK262141:GOK262170 GYG262141:GYG262170 HIC262141:HIC262170 HRY262141:HRY262170 IBU262141:IBU262170 ILQ262141:ILQ262170 IVM262141:IVM262170 JFI262141:JFI262170 JPE262141:JPE262170 JZA262141:JZA262170 KIW262141:KIW262170 KSS262141:KSS262170 LCO262141:LCO262170 LMK262141:LMK262170 LWG262141:LWG262170 MGC262141:MGC262170 MPY262141:MPY262170 MZU262141:MZU262170 NJQ262141:NJQ262170 NTM262141:NTM262170 ODI262141:ODI262170 ONE262141:ONE262170 OXA262141:OXA262170 PGW262141:PGW262170 PQS262141:PQS262170 QAO262141:QAO262170 QKK262141:QKK262170 QUG262141:QUG262170 REC262141:REC262170 RNY262141:RNY262170 RXU262141:RXU262170 SHQ262141:SHQ262170 SRM262141:SRM262170 TBI262141:TBI262170 TLE262141:TLE262170 TVA262141:TVA262170 UEW262141:UEW262170 UOS262141:UOS262170 UYO262141:UYO262170 VIK262141:VIK262170 VSG262141:VSG262170 WCC262141:WCC262170 WLY262141:WLY262170 WVU262141:WVU262170 JI327677:JI327706 TE327677:TE327706 ADA327677:ADA327706 AMW327677:AMW327706 AWS327677:AWS327706 BGO327677:BGO327706 BQK327677:BQK327706 CAG327677:CAG327706 CKC327677:CKC327706 CTY327677:CTY327706 DDU327677:DDU327706 DNQ327677:DNQ327706 DXM327677:DXM327706 EHI327677:EHI327706 ERE327677:ERE327706 FBA327677:FBA327706 FKW327677:FKW327706 FUS327677:FUS327706 GEO327677:GEO327706 GOK327677:GOK327706 GYG327677:GYG327706 HIC327677:HIC327706 HRY327677:HRY327706 IBU327677:IBU327706 ILQ327677:ILQ327706 IVM327677:IVM327706 JFI327677:JFI327706 JPE327677:JPE327706 JZA327677:JZA327706 KIW327677:KIW327706 KSS327677:KSS327706 LCO327677:LCO327706 LMK327677:LMK327706 LWG327677:LWG327706 MGC327677:MGC327706 MPY327677:MPY327706 MZU327677:MZU327706 NJQ327677:NJQ327706 NTM327677:NTM327706 ODI327677:ODI327706 ONE327677:ONE327706 OXA327677:OXA327706 PGW327677:PGW327706 PQS327677:PQS327706 QAO327677:QAO327706 QKK327677:QKK327706 QUG327677:QUG327706 REC327677:REC327706 RNY327677:RNY327706 RXU327677:RXU327706 SHQ327677:SHQ327706 SRM327677:SRM327706 TBI327677:TBI327706 TLE327677:TLE327706 TVA327677:TVA327706 UEW327677:UEW327706 UOS327677:UOS327706 UYO327677:UYO327706 VIK327677:VIK327706 VSG327677:VSG327706 WCC327677:WCC327706 WLY327677:WLY327706 WVU327677:WVU327706 JI393213:JI393242 TE393213:TE393242 ADA393213:ADA393242 AMW393213:AMW393242 AWS393213:AWS393242 BGO393213:BGO393242 BQK393213:BQK393242 CAG393213:CAG393242 CKC393213:CKC393242 CTY393213:CTY393242 DDU393213:DDU393242 DNQ393213:DNQ393242 DXM393213:DXM393242 EHI393213:EHI393242 ERE393213:ERE393242 FBA393213:FBA393242 FKW393213:FKW393242 FUS393213:FUS393242 GEO393213:GEO393242 GOK393213:GOK393242 GYG393213:GYG393242 HIC393213:HIC393242 HRY393213:HRY393242 IBU393213:IBU393242 ILQ393213:ILQ393242 IVM393213:IVM393242 JFI393213:JFI393242 JPE393213:JPE393242 JZA393213:JZA393242 KIW393213:KIW393242 KSS393213:KSS393242 LCO393213:LCO393242 LMK393213:LMK393242 LWG393213:LWG393242 MGC393213:MGC393242 MPY393213:MPY393242 MZU393213:MZU393242 NJQ393213:NJQ393242 NTM393213:NTM393242 ODI393213:ODI393242 ONE393213:ONE393242 OXA393213:OXA393242 PGW393213:PGW393242 PQS393213:PQS393242 QAO393213:QAO393242 QKK393213:QKK393242 QUG393213:QUG393242 REC393213:REC393242 RNY393213:RNY393242 RXU393213:RXU393242 SHQ393213:SHQ393242 SRM393213:SRM393242 TBI393213:TBI393242 TLE393213:TLE393242 TVA393213:TVA393242 UEW393213:UEW393242 UOS393213:UOS393242 UYO393213:UYO393242 VIK393213:VIK393242 VSG393213:VSG393242 WCC393213:WCC393242 WLY393213:WLY393242 WVU393213:WVU393242 JI458749:JI458778 TE458749:TE458778 ADA458749:ADA458778 AMW458749:AMW458778 AWS458749:AWS458778 BGO458749:BGO458778 BQK458749:BQK458778 CAG458749:CAG458778 CKC458749:CKC458778 CTY458749:CTY458778 DDU458749:DDU458778 DNQ458749:DNQ458778 DXM458749:DXM458778 EHI458749:EHI458778 ERE458749:ERE458778 FBA458749:FBA458778 FKW458749:FKW458778 FUS458749:FUS458778 GEO458749:GEO458778 GOK458749:GOK458778 GYG458749:GYG458778 HIC458749:HIC458778 HRY458749:HRY458778 IBU458749:IBU458778 ILQ458749:ILQ458778 IVM458749:IVM458778 JFI458749:JFI458778 JPE458749:JPE458778 JZA458749:JZA458778 KIW458749:KIW458778 KSS458749:KSS458778 LCO458749:LCO458778 LMK458749:LMK458778 LWG458749:LWG458778 MGC458749:MGC458778 MPY458749:MPY458778 MZU458749:MZU458778 NJQ458749:NJQ458778 NTM458749:NTM458778 ODI458749:ODI458778 ONE458749:ONE458778 OXA458749:OXA458778 PGW458749:PGW458778 PQS458749:PQS458778 QAO458749:QAO458778 QKK458749:QKK458778 QUG458749:QUG458778 REC458749:REC458778 RNY458749:RNY458778 RXU458749:RXU458778 SHQ458749:SHQ458778 SRM458749:SRM458778 TBI458749:TBI458778 TLE458749:TLE458778 TVA458749:TVA458778 UEW458749:UEW458778 UOS458749:UOS458778 UYO458749:UYO458778 VIK458749:VIK458778 VSG458749:VSG458778 WCC458749:WCC458778 WLY458749:WLY458778 WVU458749:WVU458778 JI524285:JI524314 TE524285:TE524314 ADA524285:ADA524314 AMW524285:AMW524314 AWS524285:AWS524314 BGO524285:BGO524314 BQK524285:BQK524314 CAG524285:CAG524314 CKC524285:CKC524314 CTY524285:CTY524314 DDU524285:DDU524314 DNQ524285:DNQ524314 DXM524285:DXM524314 EHI524285:EHI524314 ERE524285:ERE524314 FBA524285:FBA524314 FKW524285:FKW524314 FUS524285:FUS524314 GEO524285:GEO524314 GOK524285:GOK524314 GYG524285:GYG524314 HIC524285:HIC524314 HRY524285:HRY524314 IBU524285:IBU524314 ILQ524285:ILQ524314 IVM524285:IVM524314 JFI524285:JFI524314 JPE524285:JPE524314 JZA524285:JZA524314 KIW524285:KIW524314 KSS524285:KSS524314 LCO524285:LCO524314 LMK524285:LMK524314 LWG524285:LWG524314 MGC524285:MGC524314 MPY524285:MPY524314 MZU524285:MZU524314 NJQ524285:NJQ524314 NTM524285:NTM524314 ODI524285:ODI524314 ONE524285:ONE524314 OXA524285:OXA524314 PGW524285:PGW524314 PQS524285:PQS524314 QAO524285:QAO524314 QKK524285:QKK524314 QUG524285:QUG524314 REC524285:REC524314 RNY524285:RNY524314 RXU524285:RXU524314 SHQ524285:SHQ524314 SRM524285:SRM524314 TBI524285:TBI524314 TLE524285:TLE524314 TVA524285:TVA524314 UEW524285:UEW524314 UOS524285:UOS524314 UYO524285:UYO524314 VIK524285:VIK524314 VSG524285:VSG524314 WCC524285:WCC524314 WLY524285:WLY524314 WVU524285:WVU524314 JI589821:JI589850 TE589821:TE589850 ADA589821:ADA589850 AMW589821:AMW589850 AWS589821:AWS589850 BGO589821:BGO589850 BQK589821:BQK589850 CAG589821:CAG589850 CKC589821:CKC589850 CTY589821:CTY589850 DDU589821:DDU589850 DNQ589821:DNQ589850 DXM589821:DXM589850 EHI589821:EHI589850 ERE589821:ERE589850 FBA589821:FBA589850 FKW589821:FKW589850 FUS589821:FUS589850 GEO589821:GEO589850 GOK589821:GOK589850 GYG589821:GYG589850 HIC589821:HIC589850 HRY589821:HRY589850 IBU589821:IBU589850 ILQ589821:ILQ589850 IVM589821:IVM589850 JFI589821:JFI589850 JPE589821:JPE589850 JZA589821:JZA589850 KIW589821:KIW589850 KSS589821:KSS589850 LCO589821:LCO589850 LMK589821:LMK589850 LWG589821:LWG589850 MGC589821:MGC589850 MPY589821:MPY589850 MZU589821:MZU589850 NJQ589821:NJQ589850 NTM589821:NTM589850 ODI589821:ODI589850 ONE589821:ONE589850 OXA589821:OXA589850 PGW589821:PGW589850 PQS589821:PQS589850 QAO589821:QAO589850 QKK589821:QKK589850 QUG589821:QUG589850 REC589821:REC589850 RNY589821:RNY589850 RXU589821:RXU589850 SHQ589821:SHQ589850 SRM589821:SRM589850 TBI589821:TBI589850 TLE589821:TLE589850 TVA589821:TVA589850 UEW589821:UEW589850 UOS589821:UOS589850 UYO589821:UYO589850 VIK589821:VIK589850 VSG589821:VSG589850 WCC589821:WCC589850 WLY589821:WLY589850 WVU589821:WVU589850 JI655357:JI655386 TE655357:TE655386 ADA655357:ADA655386 AMW655357:AMW655386 AWS655357:AWS655386 BGO655357:BGO655386 BQK655357:BQK655386 CAG655357:CAG655386 CKC655357:CKC655386 CTY655357:CTY655386 DDU655357:DDU655386 DNQ655357:DNQ655386 DXM655357:DXM655386 EHI655357:EHI655386 ERE655357:ERE655386 FBA655357:FBA655386 FKW655357:FKW655386 FUS655357:FUS655386 GEO655357:GEO655386 GOK655357:GOK655386 GYG655357:GYG655386 HIC655357:HIC655386 HRY655357:HRY655386 IBU655357:IBU655386 ILQ655357:ILQ655386 IVM655357:IVM655386 JFI655357:JFI655386 JPE655357:JPE655386 JZA655357:JZA655386 KIW655357:KIW655386 KSS655357:KSS655386 LCO655357:LCO655386 LMK655357:LMK655386 LWG655357:LWG655386 MGC655357:MGC655386 MPY655357:MPY655386 MZU655357:MZU655386 NJQ655357:NJQ655386 NTM655357:NTM655386 ODI655357:ODI655386 ONE655357:ONE655386 OXA655357:OXA655386 PGW655357:PGW655386 PQS655357:PQS655386 QAO655357:QAO655386 QKK655357:QKK655386 QUG655357:QUG655386 REC655357:REC655386 RNY655357:RNY655386 RXU655357:RXU655386 SHQ655357:SHQ655386 SRM655357:SRM655386 TBI655357:TBI655386 TLE655357:TLE655386 TVA655357:TVA655386 UEW655357:UEW655386 UOS655357:UOS655386 UYO655357:UYO655386 VIK655357:VIK655386 VSG655357:VSG655386 WCC655357:WCC655386 WLY655357:WLY655386 WVU655357:WVU655386 JI720893:JI720922 TE720893:TE720922 ADA720893:ADA720922 AMW720893:AMW720922 AWS720893:AWS720922 BGO720893:BGO720922 BQK720893:BQK720922 CAG720893:CAG720922 CKC720893:CKC720922 CTY720893:CTY720922 DDU720893:DDU720922 DNQ720893:DNQ720922 DXM720893:DXM720922 EHI720893:EHI720922 ERE720893:ERE720922 FBA720893:FBA720922 FKW720893:FKW720922 FUS720893:FUS720922 GEO720893:GEO720922 GOK720893:GOK720922 GYG720893:GYG720922 HIC720893:HIC720922 HRY720893:HRY720922 IBU720893:IBU720922 ILQ720893:ILQ720922 IVM720893:IVM720922 JFI720893:JFI720922 JPE720893:JPE720922 JZA720893:JZA720922 KIW720893:KIW720922 KSS720893:KSS720922 LCO720893:LCO720922 LMK720893:LMK720922 LWG720893:LWG720922 MGC720893:MGC720922 MPY720893:MPY720922 MZU720893:MZU720922 NJQ720893:NJQ720922 NTM720893:NTM720922 ODI720893:ODI720922 ONE720893:ONE720922 OXA720893:OXA720922 PGW720893:PGW720922 PQS720893:PQS720922 QAO720893:QAO720922 QKK720893:QKK720922 QUG720893:QUG720922 REC720893:REC720922 RNY720893:RNY720922 RXU720893:RXU720922 SHQ720893:SHQ720922 SRM720893:SRM720922 TBI720893:TBI720922 TLE720893:TLE720922 TVA720893:TVA720922 UEW720893:UEW720922 UOS720893:UOS720922 UYO720893:UYO720922 VIK720893:VIK720922 VSG720893:VSG720922 WCC720893:WCC720922 WLY720893:WLY720922 WVU720893:WVU720922 JI786429:JI786458 TE786429:TE786458 ADA786429:ADA786458 AMW786429:AMW786458 AWS786429:AWS786458 BGO786429:BGO786458 BQK786429:BQK786458 CAG786429:CAG786458 CKC786429:CKC786458 CTY786429:CTY786458 DDU786429:DDU786458 DNQ786429:DNQ786458 DXM786429:DXM786458 EHI786429:EHI786458 ERE786429:ERE786458 FBA786429:FBA786458 FKW786429:FKW786458 FUS786429:FUS786458 GEO786429:GEO786458 GOK786429:GOK786458 GYG786429:GYG786458 HIC786429:HIC786458 HRY786429:HRY786458 IBU786429:IBU786458 ILQ786429:ILQ786458 IVM786429:IVM786458 JFI786429:JFI786458 JPE786429:JPE786458 JZA786429:JZA786458 KIW786429:KIW786458 KSS786429:KSS786458 LCO786429:LCO786458 LMK786429:LMK786458 LWG786429:LWG786458 MGC786429:MGC786458 MPY786429:MPY786458 MZU786429:MZU786458 NJQ786429:NJQ786458 NTM786429:NTM786458 ODI786429:ODI786458 ONE786429:ONE786458 OXA786429:OXA786458 PGW786429:PGW786458 PQS786429:PQS786458 QAO786429:QAO786458 QKK786429:QKK786458 QUG786429:QUG786458 REC786429:REC786458 RNY786429:RNY786458 RXU786429:RXU786458 SHQ786429:SHQ786458 SRM786429:SRM786458 TBI786429:TBI786458 TLE786429:TLE786458 TVA786429:TVA786458 UEW786429:UEW786458 UOS786429:UOS786458 UYO786429:UYO786458 VIK786429:VIK786458 VSG786429:VSG786458 WCC786429:WCC786458 WLY786429:WLY786458 WVU786429:WVU786458 JI851965:JI851994 TE851965:TE851994 ADA851965:ADA851994 AMW851965:AMW851994 AWS851965:AWS851994 BGO851965:BGO851994 BQK851965:BQK851994 CAG851965:CAG851994 CKC851965:CKC851994 CTY851965:CTY851994 DDU851965:DDU851994 DNQ851965:DNQ851994 DXM851965:DXM851994 EHI851965:EHI851994 ERE851965:ERE851994 FBA851965:FBA851994 FKW851965:FKW851994 FUS851965:FUS851994 GEO851965:GEO851994 GOK851965:GOK851994 GYG851965:GYG851994 HIC851965:HIC851994 HRY851965:HRY851994 IBU851965:IBU851994 ILQ851965:ILQ851994 IVM851965:IVM851994 JFI851965:JFI851994 JPE851965:JPE851994 JZA851965:JZA851994 KIW851965:KIW851994 KSS851965:KSS851994 LCO851965:LCO851994 LMK851965:LMK851994 LWG851965:LWG851994 MGC851965:MGC851994 MPY851965:MPY851994 MZU851965:MZU851994 NJQ851965:NJQ851994 NTM851965:NTM851994 ODI851965:ODI851994 ONE851965:ONE851994 OXA851965:OXA851994 PGW851965:PGW851994 PQS851965:PQS851994 QAO851965:QAO851994 QKK851965:QKK851994 QUG851965:QUG851994 REC851965:REC851994 RNY851965:RNY851994 RXU851965:RXU851994 SHQ851965:SHQ851994 SRM851965:SRM851994 TBI851965:TBI851994 TLE851965:TLE851994 TVA851965:TVA851994 UEW851965:UEW851994 UOS851965:UOS851994 UYO851965:UYO851994 VIK851965:VIK851994 VSG851965:VSG851994 WCC851965:WCC851994 WLY851965:WLY851994 WVU851965:WVU851994 JI917501:JI917530 TE917501:TE917530 ADA917501:ADA917530 AMW917501:AMW917530 AWS917501:AWS917530 BGO917501:BGO917530 BQK917501:BQK917530 CAG917501:CAG917530 CKC917501:CKC917530 CTY917501:CTY917530 DDU917501:DDU917530 DNQ917501:DNQ917530 DXM917501:DXM917530 EHI917501:EHI917530 ERE917501:ERE917530 FBA917501:FBA917530 FKW917501:FKW917530 FUS917501:FUS917530 GEO917501:GEO917530 GOK917501:GOK917530 GYG917501:GYG917530 HIC917501:HIC917530 HRY917501:HRY917530 IBU917501:IBU917530 ILQ917501:ILQ917530 IVM917501:IVM917530 JFI917501:JFI917530 JPE917501:JPE917530 JZA917501:JZA917530 KIW917501:KIW917530 KSS917501:KSS917530 LCO917501:LCO917530 LMK917501:LMK917530 LWG917501:LWG917530 MGC917501:MGC917530 MPY917501:MPY917530 MZU917501:MZU917530 NJQ917501:NJQ917530 NTM917501:NTM917530 ODI917501:ODI917530 ONE917501:ONE917530 OXA917501:OXA917530 PGW917501:PGW917530 PQS917501:PQS917530 QAO917501:QAO917530 QKK917501:QKK917530 QUG917501:QUG917530 REC917501:REC917530 RNY917501:RNY917530 RXU917501:RXU917530 SHQ917501:SHQ917530 SRM917501:SRM917530 TBI917501:TBI917530 TLE917501:TLE917530 TVA917501:TVA917530 UEW917501:UEW917530 UOS917501:UOS917530 UYO917501:UYO917530 VIK917501:VIK917530 VSG917501:VSG917530 WCC917501:WCC917530 WLY917501:WLY917530 WVU917501:WVU917530 JI983037:JI983066 TE983037:TE983066 ADA983037:ADA983066 AMW983037:AMW983066 AWS983037:AWS983066 BGO983037:BGO983066 BQK983037:BQK983066 CAG983037:CAG983066 CKC983037:CKC983066 CTY983037:CTY983066 DDU983037:DDU983066 DNQ983037:DNQ983066 DXM983037:DXM983066 EHI983037:EHI983066 ERE983037:ERE983066 FBA983037:FBA983066 FKW983037:FKW983066 FUS983037:FUS983066 GEO983037:GEO983066 GOK983037:GOK983066 GYG983037:GYG983066 HIC983037:HIC983066 HRY983037:HRY983066 IBU983037:IBU983066 ILQ983037:ILQ983066 IVM983037:IVM983066 JFI983037:JFI983066 JPE983037:JPE983066 JZA983037:JZA983066 KIW983037:KIW983066 KSS983037:KSS983066 LCO983037:LCO983066 LMK983037:LMK983066 LWG983037:LWG983066 MGC983037:MGC983066 MPY983037:MPY983066 MZU983037:MZU983066 NJQ983037:NJQ983066 NTM983037:NTM983066 ODI983037:ODI983066 ONE983037:ONE983066 OXA983037:OXA983066 PGW983037:PGW983066 PQS983037:PQS983066 QAO983037:QAO983066 QKK983037:QKK983066 QUG983037:QUG983066 REC983037:REC983066 RNY983037:RNY983066 RXU983037:RXU983066 SHQ983037:SHQ983066 SRM983037:SRM983066 TBI983037:TBI983066 TLE983037:TLE983066 TVA983037:TVA983066 UEW983037:UEW983066 UOS983037:UOS983066 UYO983037:UYO983066 VIK983037:VIK983066 VSG983037:VSG983066 WCC983037:WCC983066 WLY983037:WLY983066 S23 T22:T26 U22:U23 S25:S26 U25:U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JE6:JE26" xr:uid="{CE7D59A6-5205-417F-AFDE-F860C4D4BFA3}">
      <formula1>"สมเด็จ, มานพ, นิคม, คลองเตย,"</formula1>
    </dataValidation>
    <dataValidation type="list" allowBlank="1" showInputMessage="1" showErrorMessage="1" sqref="WVC983033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A65529:B65529 IQ65529 SM65529 ACI65529 AME65529 AWA65529 BFW65529 BPS65529 BZO65529 CJK65529 CTG65529 DDC65529 DMY65529 DWU65529 EGQ65529 EQM65529 FAI65529 FKE65529 FUA65529 GDW65529 GNS65529 GXO65529 HHK65529 HRG65529 IBC65529 IKY65529 IUU65529 JEQ65529 JOM65529 JYI65529 KIE65529 KSA65529 LBW65529 LLS65529 LVO65529 MFK65529 MPG65529 MZC65529 NIY65529 NSU65529 OCQ65529 OMM65529 OWI65529 PGE65529 PQA65529 PZW65529 QJS65529 QTO65529 RDK65529 RNG65529 RXC65529 SGY65529 SQU65529 TAQ65529 TKM65529 TUI65529 UEE65529 UOA65529 UXW65529 VHS65529 VRO65529 WBK65529 WLG65529 WVC65529 A131065:B131065 IQ131065 SM131065 ACI131065 AME131065 AWA131065 BFW131065 BPS131065 BZO131065 CJK131065 CTG131065 DDC131065 DMY131065 DWU131065 EGQ131065 EQM131065 FAI131065 FKE131065 FUA131065 GDW131065 GNS131065 GXO131065 HHK131065 HRG131065 IBC131065 IKY131065 IUU131065 JEQ131065 JOM131065 JYI131065 KIE131065 KSA131065 LBW131065 LLS131065 LVO131065 MFK131065 MPG131065 MZC131065 NIY131065 NSU131065 OCQ131065 OMM131065 OWI131065 PGE131065 PQA131065 PZW131065 QJS131065 QTO131065 RDK131065 RNG131065 RXC131065 SGY131065 SQU131065 TAQ131065 TKM131065 TUI131065 UEE131065 UOA131065 UXW131065 VHS131065 VRO131065 WBK131065 WLG131065 WVC131065 A196601:B196601 IQ196601 SM196601 ACI196601 AME196601 AWA196601 BFW196601 BPS196601 BZO196601 CJK196601 CTG196601 DDC196601 DMY196601 DWU196601 EGQ196601 EQM196601 FAI196601 FKE196601 FUA196601 GDW196601 GNS196601 GXO196601 HHK196601 HRG196601 IBC196601 IKY196601 IUU196601 JEQ196601 JOM196601 JYI196601 KIE196601 KSA196601 LBW196601 LLS196601 LVO196601 MFK196601 MPG196601 MZC196601 NIY196601 NSU196601 OCQ196601 OMM196601 OWI196601 PGE196601 PQA196601 PZW196601 QJS196601 QTO196601 RDK196601 RNG196601 RXC196601 SGY196601 SQU196601 TAQ196601 TKM196601 TUI196601 UEE196601 UOA196601 UXW196601 VHS196601 VRO196601 WBK196601 WLG196601 WVC196601 A262137:B262137 IQ262137 SM262137 ACI262137 AME262137 AWA262137 BFW262137 BPS262137 BZO262137 CJK262137 CTG262137 DDC262137 DMY262137 DWU262137 EGQ262137 EQM262137 FAI262137 FKE262137 FUA262137 GDW262137 GNS262137 GXO262137 HHK262137 HRG262137 IBC262137 IKY262137 IUU262137 JEQ262137 JOM262137 JYI262137 KIE262137 KSA262137 LBW262137 LLS262137 LVO262137 MFK262137 MPG262137 MZC262137 NIY262137 NSU262137 OCQ262137 OMM262137 OWI262137 PGE262137 PQA262137 PZW262137 QJS262137 QTO262137 RDK262137 RNG262137 RXC262137 SGY262137 SQU262137 TAQ262137 TKM262137 TUI262137 UEE262137 UOA262137 UXW262137 VHS262137 VRO262137 WBK262137 WLG262137 WVC262137 A327673:B327673 IQ327673 SM327673 ACI327673 AME327673 AWA327673 BFW327673 BPS327673 BZO327673 CJK327673 CTG327673 DDC327673 DMY327673 DWU327673 EGQ327673 EQM327673 FAI327673 FKE327673 FUA327673 GDW327673 GNS327673 GXO327673 HHK327673 HRG327673 IBC327673 IKY327673 IUU327673 JEQ327673 JOM327673 JYI327673 KIE327673 KSA327673 LBW327673 LLS327673 LVO327673 MFK327673 MPG327673 MZC327673 NIY327673 NSU327673 OCQ327673 OMM327673 OWI327673 PGE327673 PQA327673 PZW327673 QJS327673 QTO327673 RDK327673 RNG327673 RXC327673 SGY327673 SQU327673 TAQ327673 TKM327673 TUI327673 UEE327673 UOA327673 UXW327673 VHS327673 VRO327673 WBK327673 WLG327673 WVC327673 A393209:B393209 IQ393209 SM393209 ACI393209 AME393209 AWA393209 BFW393209 BPS393209 BZO393209 CJK393209 CTG393209 DDC393209 DMY393209 DWU393209 EGQ393209 EQM393209 FAI393209 FKE393209 FUA393209 GDW393209 GNS393209 GXO393209 HHK393209 HRG393209 IBC393209 IKY393209 IUU393209 JEQ393209 JOM393209 JYI393209 KIE393209 KSA393209 LBW393209 LLS393209 LVO393209 MFK393209 MPG393209 MZC393209 NIY393209 NSU393209 OCQ393209 OMM393209 OWI393209 PGE393209 PQA393209 PZW393209 QJS393209 QTO393209 RDK393209 RNG393209 RXC393209 SGY393209 SQU393209 TAQ393209 TKM393209 TUI393209 UEE393209 UOA393209 UXW393209 VHS393209 VRO393209 WBK393209 WLG393209 WVC393209 A458745:B458745 IQ458745 SM458745 ACI458745 AME458745 AWA458745 BFW458745 BPS458745 BZO458745 CJK458745 CTG458745 DDC458745 DMY458745 DWU458745 EGQ458745 EQM458745 FAI458745 FKE458745 FUA458745 GDW458745 GNS458745 GXO458745 HHK458745 HRG458745 IBC458745 IKY458745 IUU458745 JEQ458745 JOM458745 JYI458745 KIE458745 KSA458745 LBW458745 LLS458745 LVO458745 MFK458745 MPG458745 MZC458745 NIY458745 NSU458745 OCQ458745 OMM458745 OWI458745 PGE458745 PQA458745 PZW458745 QJS458745 QTO458745 RDK458745 RNG458745 RXC458745 SGY458745 SQU458745 TAQ458745 TKM458745 TUI458745 UEE458745 UOA458745 UXW458745 VHS458745 VRO458745 WBK458745 WLG458745 WVC458745 A524281:B524281 IQ524281 SM524281 ACI524281 AME524281 AWA524281 BFW524281 BPS524281 BZO524281 CJK524281 CTG524281 DDC524281 DMY524281 DWU524281 EGQ524281 EQM524281 FAI524281 FKE524281 FUA524281 GDW524281 GNS524281 GXO524281 HHK524281 HRG524281 IBC524281 IKY524281 IUU524281 JEQ524281 JOM524281 JYI524281 KIE524281 KSA524281 LBW524281 LLS524281 LVO524281 MFK524281 MPG524281 MZC524281 NIY524281 NSU524281 OCQ524281 OMM524281 OWI524281 PGE524281 PQA524281 PZW524281 QJS524281 QTO524281 RDK524281 RNG524281 RXC524281 SGY524281 SQU524281 TAQ524281 TKM524281 TUI524281 UEE524281 UOA524281 UXW524281 VHS524281 VRO524281 WBK524281 WLG524281 WVC524281 A589817:B589817 IQ589817 SM589817 ACI589817 AME589817 AWA589817 BFW589817 BPS589817 BZO589817 CJK589817 CTG589817 DDC589817 DMY589817 DWU589817 EGQ589817 EQM589817 FAI589817 FKE589817 FUA589817 GDW589817 GNS589817 GXO589817 HHK589817 HRG589817 IBC589817 IKY589817 IUU589817 JEQ589817 JOM589817 JYI589817 KIE589817 KSA589817 LBW589817 LLS589817 LVO589817 MFK589817 MPG589817 MZC589817 NIY589817 NSU589817 OCQ589817 OMM589817 OWI589817 PGE589817 PQA589817 PZW589817 QJS589817 QTO589817 RDK589817 RNG589817 RXC589817 SGY589817 SQU589817 TAQ589817 TKM589817 TUI589817 UEE589817 UOA589817 UXW589817 VHS589817 VRO589817 WBK589817 WLG589817 WVC589817 A655353:B655353 IQ655353 SM655353 ACI655353 AME655353 AWA655353 BFW655353 BPS655353 BZO655353 CJK655353 CTG655353 DDC655353 DMY655353 DWU655353 EGQ655353 EQM655353 FAI655353 FKE655353 FUA655353 GDW655353 GNS655353 GXO655353 HHK655353 HRG655353 IBC655353 IKY655353 IUU655353 JEQ655353 JOM655353 JYI655353 KIE655353 KSA655353 LBW655353 LLS655353 LVO655353 MFK655353 MPG655353 MZC655353 NIY655353 NSU655353 OCQ655353 OMM655353 OWI655353 PGE655353 PQA655353 PZW655353 QJS655353 QTO655353 RDK655353 RNG655353 RXC655353 SGY655353 SQU655353 TAQ655353 TKM655353 TUI655353 UEE655353 UOA655353 UXW655353 VHS655353 VRO655353 WBK655353 WLG655353 WVC655353 A720889:B720889 IQ720889 SM720889 ACI720889 AME720889 AWA720889 BFW720889 BPS720889 BZO720889 CJK720889 CTG720889 DDC720889 DMY720889 DWU720889 EGQ720889 EQM720889 FAI720889 FKE720889 FUA720889 GDW720889 GNS720889 GXO720889 HHK720889 HRG720889 IBC720889 IKY720889 IUU720889 JEQ720889 JOM720889 JYI720889 KIE720889 KSA720889 LBW720889 LLS720889 LVO720889 MFK720889 MPG720889 MZC720889 NIY720889 NSU720889 OCQ720889 OMM720889 OWI720889 PGE720889 PQA720889 PZW720889 QJS720889 QTO720889 RDK720889 RNG720889 RXC720889 SGY720889 SQU720889 TAQ720889 TKM720889 TUI720889 UEE720889 UOA720889 UXW720889 VHS720889 VRO720889 WBK720889 WLG720889 WVC720889 A786425:B786425 IQ786425 SM786425 ACI786425 AME786425 AWA786425 BFW786425 BPS786425 BZO786425 CJK786425 CTG786425 DDC786425 DMY786425 DWU786425 EGQ786425 EQM786425 FAI786425 FKE786425 FUA786425 GDW786425 GNS786425 GXO786425 HHK786425 HRG786425 IBC786425 IKY786425 IUU786425 JEQ786425 JOM786425 JYI786425 KIE786425 KSA786425 LBW786425 LLS786425 LVO786425 MFK786425 MPG786425 MZC786425 NIY786425 NSU786425 OCQ786425 OMM786425 OWI786425 PGE786425 PQA786425 PZW786425 QJS786425 QTO786425 RDK786425 RNG786425 RXC786425 SGY786425 SQU786425 TAQ786425 TKM786425 TUI786425 UEE786425 UOA786425 UXW786425 VHS786425 VRO786425 WBK786425 WLG786425 WVC786425 A851961:B851961 IQ851961 SM851961 ACI851961 AME851961 AWA851961 BFW851961 BPS851961 BZO851961 CJK851961 CTG851961 DDC851961 DMY851961 DWU851961 EGQ851961 EQM851961 FAI851961 FKE851961 FUA851961 GDW851961 GNS851961 GXO851961 HHK851961 HRG851961 IBC851961 IKY851961 IUU851961 JEQ851961 JOM851961 JYI851961 KIE851961 KSA851961 LBW851961 LLS851961 LVO851961 MFK851961 MPG851961 MZC851961 NIY851961 NSU851961 OCQ851961 OMM851961 OWI851961 PGE851961 PQA851961 PZW851961 QJS851961 QTO851961 RDK851961 RNG851961 RXC851961 SGY851961 SQU851961 TAQ851961 TKM851961 TUI851961 UEE851961 UOA851961 UXW851961 VHS851961 VRO851961 WBK851961 WLG851961 WVC851961 A917497:B917497 IQ917497 SM917497 ACI917497 AME917497 AWA917497 BFW917497 BPS917497 BZO917497 CJK917497 CTG917497 DDC917497 DMY917497 DWU917497 EGQ917497 EQM917497 FAI917497 FKE917497 FUA917497 GDW917497 GNS917497 GXO917497 HHK917497 HRG917497 IBC917497 IKY917497 IUU917497 JEQ917497 JOM917497 JYI917497 KIE917497 KSA917497 LBW917497 LLS917497 LVO917497 MFK917497 MPG917497 MZC917497 NIY917497 NSU917497 OCQ917497 OMM917497 OWI917497 PGE917497 PQA917497 PZW917497 QJS917497 QTO917497 RDK917497 RNG917497 RXC917497 SGY917497 SQU917497 TAQ917497 TKM917497 TUI917497 UEE917497 UOA917497 UXW917497 VHS917497 VRO917497 WBK917497 WLG917497 WVC917497 A983033:B983033 IQ983033 SM983033 ACI983033 AME983033 AWA983033 BFW983033 BPS983033 BZO983033 CJK983033 CTG983033 DDC983033 DMY983033 DWU983033 EGQ983033 EQM983033 FAI983033 FKE983033 FUA983033 GDW983033 GNS983033 GXO983033 HHK983033 HRG983033 IBC983033 IKY983033 IUU983033 JEQ983033 JOM983033 JYI983033 KIE983033 KSA983033 LBW983033 LLS983033 LVO983033 MFK983033 MPG983033 MZC983033 NIY983033 NSU983033 OCQ983033 OMM983033 OWI983033 PGE983033 PQA983033 PZW983033 QJS983033 QTO983033 RDK983033 RNG983033 RXC983033 SGY983033 SQU983033 TAQ983033 TKM983033 TUI983033 UEE983033 UOA983033 UXW983033 VHS983033 VRO983033 WBK983033 WLG983033 A2" xr:uid="{A20D6ADE-EFBA-4BF1-A4AA-7A30E4FF42CF}">
      <formula1>"ประจำเดือน มกราคม,ประจำเดือน กุมภาพันธ์,ประจำเดือน มีนาคม,ประจำเดือน เมษายน,ประจำเดือน พฤษภาคม,ประจำเดือน มิถุนายน,ประจำเดือน กรกฏาคม,ประจำเดือน สิงหาคม,ประจำเดือน กันยายน,ประจำเดือน ตุลาคม,ประจำเดือน พฤศจิกายน,ประจำเดือน ธันวาคม"</formula1>
    </dataValidation>
  </dataValidations>
  <printOptions horizontalCentered="1"/>
  <pageMargins left="0.23622047244094491" right="0.11811023622047245" top="0.39370078740157483" bottom="0.23622047244094491" header="0.39370078740157483" footer="0.31496062992125984"/>
  <pageSetup paperSize="9" scale="34" orientation="landscape" r:id="rId1"/>
  <headerFooter alignWithMargins="0"/>
  <ignoredErrors>
    <ignoredError sqref="L7:L8 M7:M8 M6 L6 Q7:Q8 L9:M11 L12:M14" unlockedFormula="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5CAC25B-5580-4F9A-835D-46D5288DD975}">
          <x14:formula1>
            <xm:f>Ref!$C$2:$C$20</xm:f>
          </x14:formula1>
          <xm:sqref>E6 E9 E15 E12 E21 E24 E18</xm:sqref>
        </x14:dataValidation>
        <x14:dataValidation type="list" allowBlank="1" showInputMessage="1" showErrorMessage="1" xr:uid="{A4BCCE3B-5B14-4FDA-82E7-7220D14035D6}">
          <x14:formula1>
            <xm:f>Ref!$B$2:$B$20</xm:f>
          </x14:formula1>
          <xm:sqref>D6 D9 D12 D15 D18 D21 D24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C4B91-2758-48E3-91D9-7474526349FA}">
  <sheetPr codeName="Sheet5">
    <tabColor rgb="FF92D050"/>
    <pageSetUpPr fitToPage="1"/>
  </sheetPr>
  <dimension ref="A1:WVY287"/>
  <sheetViews>
    <sheetView tabSelected="1" zoomScale="80" zoomScaleNormal="80" workbookViewId="0">
      <selection activeCell="L15" sqref="L15"/>
    </sheetView>
  </sheetViews>
  <sheetFormatPr defaultColWidth="0" defaultRowHeight="0" customHeight="1" zeroHeight="1"/>
  <cols>
    <col min="1" max="1" width="6.88671875" style="71" customWidth="1"/>
    <col min="2" max="2" width="20.77734375" style="71" customWidth="1"/>
    <col min="3" max="3" width="23.6640625" style="71" bestFit="1" customWidth="1"/>
    <col min="4" max="4" width="31.77734375" style="71" customWidth="1"/>
    <col min="5" max="5" width="16.109375" style="80" bestFit="1" customWidth="1"/>
    <col min="6" max="6" width="14.109375" style="80" customWidth="1"/>
    <col min="7" max="7" width="16.5546875" style="80" bestFit="1" customWidth="1"/>
    <col min="8" max="8" width="14.5546875" style="80" customWidth="1"/>
    <col min="9" max="9" width="15" style="80" customWidth="1"/>
    <col min="10" max="10" width="16.6640625" style="80" customWidth="1"/>
    <col min="11" max="11" width="17.88671875" style="71" bestFit="1" customWidth="1"/>
    <col min="12" max="12" width="11.77734375" style="71" customWidth="1"/>
    <col min="13" max="13" width="17.77734375" style="71" customWidth="1"/>
    <col min="14" max="16" width="8" style="71" customWidth="1"/>
    <col min="17" max="256" width="9.109375" style="71" hidden="1"/>
    <col min="257" max="257" width="6.88671875" style="71" customWidth="1"/>
    <col min="258" max="258" width="23.33203125" style="71" customWidth="1"/>
    <col min="259" max="259" width="42.88671875" style="71" customWidth="1"/>
    <col min="260" max="260" width="14" style="71" customWidth="1"/>
    <col min="261" max="261" width="14.109375" style="71" customWidth="1"/>
    <col min="262" max="262" width="13" style="71" customWidth="1"/>
    <col min="263" max="263" width="14" style="71" customWidth="1"/>
    <col min="264" max="264" width="15" style="71" customWidth="1"/>
    <col min="265" max="265" width="15.21875" style="71" customWidth="1"/>
    <col min="266" max="266" width="1.88671875" style="71" customWidth="1"/>
    <col min="267" max="267" width="10.5546875" style="71" customWidth="1"/>
    <col min="268" max="272" width="8" style="71" customWidth="1"/>
    <col min="273" max="512" width="9.109375" style="71" hidden="1"/>
    <col min="513" max="513" width="6.88671875" style="71" customWidth="1"/>
    <col min="514" max="514" width="23.33203125" style="71" customWidth="1"/>
    <col min="515" max="515" width="42.88671875" style="71" customWidth="1"/>
    <col min="516" max="516" width="14" style="71" customWidth="1"/>
    <col min="517" max="517" width="14.109375" style="71" customWidth="1"/>
    <col min="518" max="518" width="13" style="71" customWidth="1"/>
    <col min="519" max="519" width="14" style="71" customWidth="1"/>
    <col min="520" max="520" width="15" style="71" customWidth="1"/>
    <col min="521" max="521" width="15.21875" style="71" customWidth="1"/>
    <col min="522" max="522" width="1.88671875" style="71" customWidth="1"/>
    <col min="523" max="523" width="10.5546875" style="71" customWidth="1"/>
    <col min="524" max="528" width="8" style="71" customWidth="1"/>
    <col min="529" max="768" width="9.109375" style="71" hidden="1"/>
    <col min="769" max="769" width="6.88671875" style="71" customWidth="1"/>
    <col min="770" max="770" width="23.33203125" style="71" customWidth="1"/>
    <col min="771" max="771" width="42.88671875" style="71" customWidth="1"/>
    <col min="772" max="772" width="14" style="71" customWidth="1"/>
    <col min="773" max="773" width="14.109375" style="71" customWidth="1"/>
    <col min="774" max="774" width="13" style="71" customWidth="1"/>
    <col min="775" max="775" width="14" style="71" customWidth="1"/>
    <col min="776" max="776" width="15" style="71" customWidth="1"/>
    <col min="777" max="777" width="15.21875" style="71" customWidth="1"/>
    <col min="778" max="778" width="1.88671875" style="71" customWidth="1"/>
    <col min="779" max="779" width="10.5546875" style="71" customWidth="1"/>
    <col min="780" max="784" width="8" style="71" customWidth="1"/>
    <col min="785" max="1024" width="9.109375" style="71" hidden="1"/>
    <col min="1025" max="1025" width="6.88671875" style="71" customWidth="1"/>
    <col min="1026" max="1026" width="23.33203125" style="71" customWidth="1"/>
    <col min="1027" max="1027" width="42.88671875" style="71" customWidth="1"/>
    <col min="1028" max="1028" width="14" style="71" customWidth="1"/>
    <col min="1029" max="1029" width="14.109375" style="71" customWidth="1"/>
    <col min="1030" max="1030" width="13" style="71" customWidth="1"/>
    <col min="1031" max="1031" width="14" style="71" customWidth="1"/>
    <col min="1032" max="1032" width="15" style="71" customWidth="1"/>
    <col min="1033" max="1033" width="15.21875" style="71" customWidth="1"/>
    <col min="1034" max="1034" width="1.88671875" style="71" customWidth="1"/>
    <col min="1035" max="1035" width="10.5546875" style="71" customWidth="1"/>
    <col min="1036" max="1040" width="8" style="71" customWidth="1"/>
    <col min="1041" max="1280" width="9.109375" style="71" hidden="1"/>
    <col min="1281" max="1281" width="6.88671875" style="71" customWidth="1"/>
    <col min="1282" max="1282" width="23.33203125" style="71" customWidth="1"/>
    <col min="1283" max="1283" width="42.88671875" style="71" customWidth="1"/>
    <col min="1284" max="1284" width="14" style="71" customWidth="1"/>
    <col min="1285" max="1285" width="14.109375" style="71" customWidth="1"/>
    <col min="1286" max="1286" width="13" style="71" customWidth="1"/>
    <col min="1287" max="1287" width="14" style="71" customWidth="1"/>
    <col min="1288" max="1288" width="15" style="71" customWidth="1"/>
    <col min="1289" max="1289" width="15.21875" style="71" customWidth="1"/>
    <col min="1290" max="1290" width="1.88671875" style="71" customWidth="1"/>
    <col min="1291" max="1291" width="10.5546875" style="71" customWidth="1"/>
    <col min="1292" max="1296" width="8" style="71" customWidth="1"/>
    <col min="1297" max="1536" width="9.109375" style="71" hidden="1"/>
    <col min="1537" max="1537" width="6.88671875" style="71" customWidth="1"/>
    <col min="1538" max="1538" width="23.33203125" style="71" customWidth="1"/>
    <col min="1539" max="1539" width="42.88671875" style="71" customWidth="1"/>
    <col min="1540" max="1540" width="14" style="71" customWidth="1"/>
    <col min="1541" max="1541" width="14.109375" style="71" customWidth="1"/>
    <col min="1542" max="1542" width="13" style="71" customWidth="1"/>
    <col min="1543" max="1543" width="14" style="71" customWidth="1"/>
    <col min="1544" max="1544" width="15" style="71" customWidth="1"/>
    <col min="1545" max="1545" width="15.21875" style="71" customWidth="1"/>
    <col min="1546" max="1546" width="1.88671875" style="71" customWidth="1"/>
    <col min="1547" max="1547" width="10.5546875" style="71" customWidth="1"/>
    <col min="1548" max="1552" width="8" style="71" customWidth="1"/>
    <col min="1553" max="1792" width="9.109375" style="71" hidden="1"/>
    <col min="1793" max="1793" width="6.88671875" style="71" customWidth="1"/>
    <col min="1794" max="1794" width="23.33203125" style="71" customWidth="1"/>
    <col min="1795" max="1795" width="42.88671875" style="71" customWidth="1"/>
    <col min="1796" max="1796" width="14" style="71" customWidth="1"/>
    <col min="1797" max="1797" width="14.109375" style="71" customWidth="1"/>
    <col min="1798" max="1798" width="13" style="71" customWidth="1"/>
    <col min="1799" max="1799" width="14" style="71" customWidth="1"/>
    <col min="1800" max="1800" width="15" style="71" customWidth="1"/>
    <col min="1801" max="1801" width="15.21875" style="71" customWidth="1"/>
    <col min="1802" max="1802" width="1.88671875" style="71" customWidth="1"/>
    <col min="1803" max="1803" width="10.5546875" style="71" customWidth="1"/>
    <col min="1804" max="1808" width="8" style="71" customWidth="1"/>
    <col min="1809" max="2048" width="9.109375" style="71" hidden="1"/>
    <col min="2049" max="2049" width="6.88671875" style="71" customWidth="1"/>
    <col min="2050" max="2050" width="23.33203125" style="71" customWidth="1"/>
    <col min="2051" max="2051" width="42.88671875" style="71" customWidth="1"/>
    <col min="2052" max="2052" width="14" style="71" customWidth="1"/>
    <col min="2053" max="2053" width="14.109375" style="71" customWidth="1"/>
    <col min="2054" max="2054" width="13" style="71" customWidth="1"/>
    <col min="2055" max="2055" width="14" style="71" customWidth="1"/>
    <col min="2056" max="2056" width="15" style="71" customWidth="1"/>
    <col min="2057" max="2057" width="15.21875" style="71" customWidth="1"/>
    <col min="2058" max="2058" width="1.88671875" style="71" customWidth="1"/>
    <col min="2059" max="2059" width="10.5546875" style="71" customWidth="1"/>
    <col min="2060" max="2064" width="8" style="71" customWidth="1"/>
    <col min="2065" max="2304" width="9.109375" style="71" hidden="1"/>
    <col min="2305" max="2305" width="6.88671875" style="71" customWidth="1"/>
    <col min="2306" max="2306" width="23.33203125" style="71" customWidth="1"/>
    <col min="2307" max="2307" width="42.88671875" style="71" customWidth="1"/>
    <col min="2308" max="2308" width="14" style="71" customWidth="1"/>
    <col min="2309" max="2309" width="14.109375" style="71" customWidth="1"/>
    <col min="2310" max="2310" width="13" style="71" customWidth="1"/>
    <col min="2311" max="2311" width="14" style="71" customWidth="1"/>
    <col min="2312" max="2312" width="15" style="71" customWidth="1"/>
    <col min="2313" max="2313" width="15.21875" style="71" customWidth="1"/>
    <col min="2314" max="2314" width="1.88671875" style="71" customWidth="1"/>
    <col min="2315" max="2315" width="10.5546875" style="71" customWidth="1"/>
    <col min="2316" max="2320" width="8" style="71" customWidth="1"/>
    <col min="2321" max="2560" width="9.109375" style="71" hidden="1"/>
    <col min="2561" max="2561" width="6.88671875" style="71" customWidth="1"/>
    <col min="2562" max="2562" width="23.33203125" style="71" customWidth="1"/>
    <col min="2563" max="2563" width="42.88671875" style="71" customWidth="1"/>
    <col min="2564" max="2564" width="14" style="71" customWidth="1"/>
    <col min="2565" max="2565" width="14.109375" style="71" customWidth="1"/>
    <col min="2566" max="2566" width="13" style="71" customWidth="1"/>
    <col min="2567" max="2567" width="14" style="71" customWidth="1"/>
    <col min="2568" max="2568" width="15" style="71" customWidth="1"/>
    <col min="2569" max="2569" width="15.21875" style="71" customWidth="1"/>
    <col min="2570" max="2570" width="1.88671875" style="71" customWidth="1"/>
    <col min="2571" max="2571" width="10.5546875" style="71" customWidth="1"/>
    <col min="2572" max="2576" width="8" style="71" customWidth="1"/>
    <col min="2577" max="2816" width="9.109375" style="71" hidden="1"/>
    <col min="2817" max="2817" width="6.88671875" style="71" customWidth="1"/>
    <col min="2818" max="2818" width="23.33203125" style="71" customWidth="1"/>
    <col min="2819" max="2819" width="42.88671875" style="71" customWidth="1"/>
    <col min="2820" max="2820" width="14" style="71" customWidth="1"/>
    <col min="2821" max="2821" width="14.109375" style="71" customWidth="1"/>
    <col min="2822" max="2822" width="13" style="71" customWidth="1"/>
    <col min="2823" max="2823" width="14" style="71" customWidth="1"/>
    <col min="2824" max="2824" width="15" style="71" customWidth="1"/>
    <col min="2825" max="2825" width="15.21875" style="71" customWidth="1"/>
    <col min="2826" max="2826" width="1.88671875" style="71" customWidth="1"/>
    <col min="2827" max="2827" width="10.5546875" style="71" customWidth="1"/>
    <col min="2828" max="2832" width="8" style="71" customWidth="1"/>
    <col min="2833" max="3072" width="9.109375" style="71" hidden="1"/>
    <col min="3073" max="3073" width="6.88671875" style="71" customWidth="1"/>
    <col min="3074" max="3074" width="23.33203125" style="71" customWidth="1"/>
    <col min="3075" max="3075" width="42.88671875" style="71" customWidth="1"/>
    <col min="3076" max="3076" width="14" style="71" customWidth="1"/>
    <col min="3077" max="3077" width="14.109375" style="71" customWidth="1"/>
    <col min="3078" max="3078" width="13" style="71" customWidth="1"/>
    <col min="3079" max="3079" width="14" style="71" customWidth="1"/>
    <col min="3080" max="3080" width="15" style="71" customWidth="1"/>
    <col min="3081" max="3081" width="15.21875" style="71" customWidth="1"/>
    <col min="3082" max="3082" width="1.88671875" style="71" customWidth="1"/>
    <col min="3083" max="3083" width="10.5546875" style="71" customWidth="1"/>
    <col min="3084" max="3088" width="8" style="71" customWidth="1"/>
    <col min="3089" max="3328" width="9.109375" style="71" hidden="1"/>
    <col min="3329" max="3329" width="6.88671875" style="71" customWidth="1"/>
    <col min="3330" max="3330" width="23.33203125" style="71" customWidth="1"/>
    <col min="3331" max="3331" width="42.88671875" style="71" customWidth="1"/>
    <col min="3332" max="3332" width="14" style="71" customWidth="1"/>
    <col min="3333" max="3333" width="14.109375" style="71" customWidth="1"/>
    <col min="3334" max="3334" width="13" style="71" customWidth="1"/>
    <col min="3335" max="3335" width="14" style="71" customWidth="1"/>
    <col min="3336" max="3336" width="15" style="71" customWidth="1"/>
    <col min="3337" max="3337" width="15.21875" style="71" customWidth="1"/>
    <col min="3338" max="3338" width="1.88671875" style="71" customWidth="1"/>
    <col min="3339" max="3339" width="10.5546875" style="71" customWidth="1"/>
    <col min="3340" max="3344" width="8" style="71" customWidth="1"/>
    <col min="3345" max="3584" width="9.109375" style="71" hidden="1"/>
    <col min="3585" max="3585" width="6.88671875" style="71" customWidth="1"/>
    <col min="3586" max="3586" width="23.33203125" style="71" customWidth="1"/>
    <col min="3587" max="3587" width="42.88671875" style="71" customWidth="1"/>
    <col min="3588" max="3588" width="14" style="71" customWidth="1"/>
    <col min="3589" max="3589" width="14.109375" style="71" customWidth="1"/>
    <col min="3590" max="3590" width="13" style="71" customWidth="1"/>
    <col min="3591" max="3591" width="14" style="71" customWidth="1"/>
    <col min="3592" max="3592" width="15" style="71" customWidth="1"/>
    <col min="3593" max="3593" width="15.21875" style="71" customWidth="1"/>
    <col min="3594" max="3594" width="1.88671875" style="71" customWidth="1"/>
    <col min="3595" max="3595" width="10.5546875" style="71" customWidth="1"/>
    <col min="3596" max="3600" width="8" style="71" customWidth="1"/>
    <col min="3601" max="3840" width="9.109375" style="71" hidden="1"/>
    <col min="3841" max="3841" width="6.88671875" style="71" customWidth="1"/>
    <col min="3842" max="3842" width="23.33203125" style="71" customWidth="1"/>
    <col min="3843" max="3843" width="42.88671875" style="71" customWidth="1"/>
    <col min="3844" max="3844" width="14" style="71" customWidth="1"/>
    <col min="3845" max="3845" width="14.109375" style="71" customWidth="1"/>
    <col min="3846" max="3846" width="13" style="71" customWidth="1"/>
    <col min="3847" max="3847" width="14" style="71" customWidth="1"/>
    <col min="3848" max="3848" width="15" style="71" customWidth="1"/>
    <col min="3849" max="3849" width="15.21875" style="71" customWidth="1"/>
    <col min="3850" max="3850" width="1.88671875" style="71" customWidth="1"/>
    <col min="3851" max="3851" width="10.5546875" style="71" customWidth="1"/>
    <col min="3852" max="3856" width="8" style="71" customWidth="1"/>
    <col min="3857" max="4096" width="9.109375" style="71" hidden="1"/>
    <col min="4097" max="4097" width="6.88671875" style="71" customWidth="1"/>
    <col min="4098" max="4098" width="23.33203125" style="71" customWidth="1"/>
    <col min="4099" max="4099" width="42.88671875" style="71" customWidth="1"/>
    <col min="4100" max="4100" width="14" style="71" customWidth="1"/>
    <col min="4101" max="4101" width="14.109375" style="71" customWidth="1"/>
    <col min="4102" max="4102" width="13" style="71" customWidth="1"/>
    <col min="4103" max="4103" width="14" style="71" customWidth="1"/>
    <col min="4104" max="4104" width="15" style="71" customWidth="1"/>
    <col min="4105" max="4105" width="15.21875" style="71" customWidth="1"/>
    <col min="4106" max="4106" width="1.88671875" style="71" customWidth="1"/>
    <col min="4107" max="4107" width="10.5546875" style="71" customWidth="1"/>
    <col min="4108" max="4112" width="8" style="71" customWidth="1"/>
    <col min="4113" max="4352" width="9.109375" style="71" hidden="1"/>
    <col min="4353" max="4353" width="6.88671875" style="71" customWidth="1"/>
    <col min="4354" max="4354" width="23.33203125" style="71" customWidth="1"/>
    <col min="4355" max="4355" width="42.88671875" style="71" customWidth="1"/>
    <col min="4356" max="4356" width="14" style="71" customWidth="1"/>
    <col min="4357" max="4357" width="14.109375" style="71" customWidth="1"/>
    <col min="4358" max="4358" width="13" style="71" customWidth="1"/>
    <col min="4359" max="4359" width="14" style="71" customWidth="1"/>
    <col min="4360" max="4360" width="15" style="71" customWidth="1"/>
    <col min="4361" max="4361" width="15.21875" style="71" customWidth="1"/>
    <col min="4362" max="4362" width="1.88671875" style="71" customWidth="1"/>
    <col min="4363" max="4363" width="10.5546875" style="71" customWidth="1"/>
    <col min="4364" max="4368" width="8" style="71" customWidth="1"/>
    <col min="4369" max="4608" width="9.109375" style="71" hidden="1"/>
    <col min="4609" max="4609" width="6.88671875" style="71" customWidth="1"/>
    <col min="4610" max="4610" width="23.33203125" style="71" customWidth="1"/>
    <col min="4611" max="4611" width="42.88671875" style="71" customWidth="1"/>
    <col min="4612" max="4612" width="14" style="71" customWidth="1"/>
    <col min="4613" max="4613" width="14.109375" style="71" customWidth="1"/>
    <col min="4614" max="4614" width="13" style="71" customWidth="1"/>
    <col min="4615" max="4615" width="14" style="71" customWidth="1"/>
    <col min="4616" max="4616" width="15" style="71" customWidth="1"/>
    <col min="4617" max="4617" width="15.21875" style="71" customWidth="1"/>
    <col min="4618" max="4618" width="1.88671875" style="71" customWidth="1"/>
    <col min="4619" max="4619" width="10.5546875" style="71" customWidth="1"/>
    <col min="4620" max="4624" width="8" style="71" customWidth="1"/>
    <col min="4625" max="4864" width="9.109375" style="71" hidden="1"/>
    <col min="4865" max="4865" width="6.88671875" style="71" customWidth="1"/>
    <col min="4866" max="4866" width="23.33203125" style="71" customWidth="1"/>
    <col min="4867" max="4867" width="42.88671875" style="71" customWidth="1"/>
    <col min="4868" max="4868" width="14" style="71" customWidth="1"/>
    <col min="4869" max="4869" width="14.109375" style="71" customWidth="1"/>
    <col min="4870" max="4870" width="13" style="71" customWidth="1"/>
    <col min="4871" max="4871" width="14" style="71" customWidth="1"/>
    <col min="4872" max="4872" width="15" style="71" customWidth="1"/>
    <col min="4873" max="4873" width="15.21875" style="71" customWidth="1"/>
    <col min="4874" max="4874" width="1.88671875" style="71" customWidth="1"/>
    <col min="4875" max="4875" width="10.5546875" style="71" customWidth="1"/>
    <col min="4876" max="4880" width="8" style="71" customWidth="1"/>
    <col min="4881" max="5120" width="9.109375" style="71" hidden="1"/>
    <col min="5121" max="5121" width="6.88671875" style="71" customWidth="1"/>
    <col min="5122" max="5122" width="23.33203125" style="71" customWidth="1"/>
    <col min="5123" max="5123" width="42.88671875" style="71" customWidth="1"/>
    <col min="5124" max="5124" width="14" style="71" customWidth="1"/>
    <col min="5125" max="5125" width="14.109375" style="71" customWidth="1"/>
    <col min="5126" max="5126" width="13" style="71" customWidth="1"/>
    <col min="5127" max="5127" width="14" style="71" customWidth="1"/>
    <col min="5128" max="5128" width="15" style="71" customWidth="1"/>
    <col min="5129" max="5129" width="15.21875" style="71" customWidth="1"/>
    <col min="5130" max="5130" width="1.88671875" style="71" customWidth="1"/>
    <col min="5131" max="5131" width="10.5546875" style="71" customWidth="1"/>
    <col min="5132" max="5136" width="8" style="71" customWidth="1"/>
    <col min="5137" max="5376" width="9.109375" style="71" hidden="1"/>
    <col min="5377" max="5377" width="6.88671875" style="71" customWidth="1"/>
    <col min="5378" max="5378" width="23.33203125" style="71" customWidth="1"/>
    <col min="5379" max="5379" width="42.88671875" style="71" customWidth="1"/>
    <col min="5380" max="5380" width="14" style="71" customWidth="1"/>
    <col min="5381" max="5381" width="14.109375" style="71" customWidth="1"/>
    <col min="5382" max="5382" width="13" style="71" customWidth="1"/>
    <col min="5383" max="5383" width="14" style="71" customWidth="1"/>
    <col min="5384" max="5384" width="15" style="71" customWidth="1"/>
    <col min="5385" max="5385" width="15.21875" style="71" customWidth="1"/>
    <col min="5386" max="5386" width="1.88671875" style="71" customWidth="1"/>
    <col min="5387" max="5387" width="10.5546875" style="71" customWidth="1"/>
    <col min="5388" max="5392" width="8" style="71" customWidth="1"/>
    <col min="5393" max="5632" width="9.109375" style="71" hidden="1"/>
    <col min="5633" max="5633" width="6.88671875" style="71" customWidth="1"/>
    <col min="5634" max="5634" width="23.33203125" style="71" customWidth="1"/>
    <col min="5635" max="5635" width="42.88671875" style="71" customWidth="1"/>
    <col min="5636" max="5636" width="14" style="71" customWidth="1"/>
    <col min="5637" max="5637" width="14.109375" style="71" customWidth="1"/>
    <col min="5638" max="5638" width="13" style="71" customWidth="1"/>
    <col min="5639" max="5639" width="14" style="71" customWidth="1"/>
    <col min="5640" max="5640" width="15" style="71" customWidth="1"/>
    <col min="5641" max="5641" width="15.21875" style="71" customWidth="1"/>
    <col min="5642" max="5642" width="1.88671875" style="71" customWidth="1"/>
    <col min="5643" max="5643" width="10.5546875" style="71" customWidth="1"/>
    <col min="5644" max="5648" width="8" style="71" customWidth="1"/>
    <col min="5649" max="5888" width="9.109375" style="71" hidden="1"/>
    <col min="5889" max="5889" width="6.88671875" style="71" customWidth="1"/>
    <col min="5890" max="5890" width="23.33203125" style="71" customWidth="1"/>
    <col min="5891" max="5891" width="42.88671875" style="71" customWidth="1"/>
    <col min="5892" max="5892" width="14" style="71" customWidth="1"/>
    <col min="5893" max="5893" width="14.109375" style="71" customWidth="1"/>
    <col min="5894" max="5894" width="13" style="71" customWidth="1"/>
    <col min="5895" max="5895" width="14" style="71" customWidth="1"/>
    <col min="5896" max="5896" width="15" style="71" customWidth="1"/>
    <col min="5897" max="5897" width="15.21875" style="71" customWidth="1"/>
    <col min="5898" max="5898" width="1.88671875" style="71" customWidth="1"/>
    <col min="5899" max="5899" width="10.5546875" style="71" customWidth="1"/>
    <col min="5900" max="5904" width="8" style="71" customWidth="1"/>
    <col min="5905" max="6144" width="9.109375" style="71" hidden="1"/>
    <col min="6145" max="6145" width="6.88671875" style="71" customWidth="1"/>
    <col min="6146" max="6146" width="23.33203125" style="71" customWidth="1"/>
    <col min="6147" max="6147" width="42.88671875" style="71" customWidth="1"/>
    <col min="6148" max="6148" width="14" style="71" customWidth="1"/>
    <col min="6149" max="6149" width="14.109375" style="71" customWidth="1"/>
    <col min="6150" max="6150" width="13" style="71" customWidth="1"/>
    <col min="6151" max="6151" width="14" style="71" customWidth="1"/>
    <col min="6152" max="6152" width="15" style="71" customWidth="1"/>
    <col min="6153" max="6153" width="15.21875" style="71" customWidth="1"/>
    <col min="6154" max="6154" width="1.88671875" style="71" customWidth="1"/>
    <col min="6155" max="6155" width="10.5546875" style="71" customWidth="1"/>
    <col min="6156" max="6160" width="8" style="71" customWidth="1"/>
    <col min="6161" max="6400" width="9.109375" style="71" hidden="1"/>
    <col min="6401" max="6401" width="6.88671875" style="71" customWidth="1"/>
    <col min="6402" max="6402" width="23.33203125" style="71" customWidth="1"/>
    <col min="6403" max="6403" width="42.88671875" style="71" customWidth="1"/>
    <col min="6404" max="6404" width="14" style="71" customWidth="1"/>
    <col min="6405" max="6405" width="14.109375" style="71" customWidth="1"/>
    <col min="6406" max="6406" width="13" style="71" customWidth="1"/>
    <col min="6407" max="6407" width="14" style="71" customWidth="1"/>
    <col min="6408" max="6408" width="15" style="71" customWidth="1"/>
    <col min="6409" max="6409" width="15.21875" style="71" customWidth="1"/>
    <col min="6410" max="6410" width="1.88671875" style="71" customWidth="1"/>
    <col min="6411" max="6411" width="10.5546875" style="71" customWidth="1"/>
    <col min="6412" max="6416" width="8" style="71" customWidth="1"/>
    <col min="6417" max="6656" width="9.109375" style="71" hidden="1"/>
    <col min="6657" max="6657" width="6.88671875" style="71" customWidth="1"/>
    <col min="6658" max="6658" width="23.33203125" style="71" customWidth="1"/>
    <col min="6659" max="6659" width="42.88671875" style="71" customWidth="1"/>
    <col min="6660" max="6660" width="14" style="71" customWidth="1"/>
    <col min="6661" max="6661" width="14.109375" style="71" customWidth="1"/>
    <col min="6662" max="6662" width="13" style="71" customWidth="1"/>
    <col min="6663" max="6663" width="14" style="71" customWidth="1"/>
    <col min="6664" max="6664" width="15" style="71" customWidth="1"/>
    <col min="6665" max="6665" width="15.21875" style="71" customWidth="1"/>
    <col min="6666" max="6666" width="1.88671875" style="71" customWidth="1"/>
    <col min="6667" max="6667" width="10.5546875" style="71" customWidth="1"/>
    <col min="6668" max="6672" width="8" style="71" customWidth="1"/>
    <col min="6673" max="6912" width="9.109375" style="71" hidden="1"/>
    <col min="6913" max="6913" width="6.88671875" style="71" customWidth="1"/>
    <col min="6914" max="6914" width="23.33203125" style="71" customWidth="1"/>
    <col min="6915" max="6915" width="42.88671875" style="71" customWidth="1"/>
    <col min="6916" max="6916" width="14" style="71" customWidth="1"/>
    <col min="6917" max="6917" width="14.109375" style="71" customWidth="1"/>
    <col min="6918" max="6918" width="13" style="71" customWidth="1"/>
    <col min="6919" max="6919" width="14" style="71" customWidth="1"/>
    <col min="6920" max="6920" width="15" style="71" customWidth="1"/>
    <col min="6921" max="6921" width="15.21875" style="71" customWidth="1"/>
    <col min="6922" max="6922" width="1.88671875" style="71" customWidth="1"/>
    <col min="6923" max="6923" width="10.5546875" style="71" customWidth="1"/>
    <col min="6924" max="6928" width="8" style="71" customWidth="1"/>
    <col min="6929" max="7168" width="9.109375" style="71" hidden="1"/>
    <col min="7169" max="7169" width="6.88671875" style="71" customWidth="1"/>
    <col min="7170" max="7170" width="23.33203125" style="71" customWidth="1"/>
    <col min="7171" max="7171" width="42.88671875" style="71" customWidth="1"/>
    <col min="7172" max="7172" width="14" style="71" customWidth="1"/>
    <col min="7173" max="7173" width="14.109375" style="71" customWidth="1"/>
    <col min="7174" max="7174" width="13" style="71" customWidth="1"/>
    <col min="7175" max="7175" width="14" style="71" customWidth="1"/>
    <col min="7176" max="7176" width="15" style="71" customWidth="1"/>
    <col min="7177" max="7177" width="15.21875" style="71" customWidth="1"/>
    <col min="7178" max="7178" width="1.88671875" style="71" customWidth="1"/>
    <col min="7179" max="7179" width="10.5546875" style="71" customWidth="1"/>
    <col min="7180" max="7184" width="8" style="71" customWidth="1"/>
    <col min="7185" max="7424" width="9.109375" style="71" hidden="1"/>
    <col min="7425" max="7425" width="6.88671875" style="71" customWidth="1"/>
    <col min="7426" max="7426" width="23.33203125" style="71" customWidth="1"/>
    <col min="7427" max="7427" width="42.88671875" style="71" customWidth="1"/>
    <col min="7428" max="7428" width="14" style="71" customWidth="1"/>
    <col min="7429" max="7429" width="14.109375" style="71" customWidth="1"/>
    <col min="7430" max="7430" width="13" style="71" customWidth="1"/>
    <col min="7431" max="7431" width="14" style="71" customWidth="1"/>
    <col min="7432" max="7432" width="15" style="71" customWidth="1"/>
    <col min="7433" max="7433" width="15.21875" style="71" customWidth="1"/>
    <col min="7434" max="7434" width="1.88671875" style="71" customWidth="1"/>
    <col min="7435" max="7435" width="10.5546875" style="71" customWidth="1"/>
    <col min="7436" max="7440" width="8" style="71" customWidth="1"/>
    <col min="7441" max="7680" width="9.109375" style="71" hidden="1"/>
    <col min="7681" max="7681" width="6.88671875" style="71" customWidth="1"/>
    <col min="7682" max="7682" width="23.33203125" style="71" customWidth="1"/>
    <col min="7683" max="7683" width="42.88671875" style="71" customWidth="1"/>
    <col min="7684" max="7684" width="14" style="71" customWidth="1"/>
    <col min="7685" max="7685" width="14.109375" style="71" customWidth="1"/>
    <col min="7686" max="7686" width="13" style="71" customWidth="1"/>
    <col min="7687" max="7687" width="14" style="71" customWidth="1"/>
    <col min="7688" max="7688" width="15" style="71" customWidth="1"/>
    <col min="7689" max="7689" width="15.21875" style="71" customWidth="1"/>
    <col min="7690" max="7690" width="1.88671875" style="71" customWidth="1"/>
    <col min="7691" max="7691" width="10.5546875" style="71" customWidth="1"/>
    <col min="7692" max="7696" width="8" style="71" customWidth="1"/>
    <col min="7697" max="7936" width="9.109375" style="71" hidden="1"/>
    <col min="7937" max="7937" width="6.88671875" style="71" customWidth="1"/>
    <col min="7938" max="7938" width="23.33203125" style="71" customWidth="1"/>
    <col min="7939" max="7939" width="42.88671875" style="71" customWidth="1"/>
    <col min="7940" max="7940" width="14" style="71" customWidth="1"/>
    <col min="7941" max="7941" width="14.109375" style="71" customWidth="1"/>
    <col min="7942" max="7942" width="13" style="71" customWidth="1"/>
    <col min="7943" max="7943" width="14" style="71" customWidth="1"/>
    <col min="7944" max="7944" width="15" style="71" customWidth="1"/>
    <col min="7945" max="7945" width="15.21875" style="71" customWidth="1"/>
    <col min="7946" max="7946" width="1.88671875" style="71" customWidth="1"/>
    <col min="7947" max="7947" width="10.5546875" style="71" customWidth="1"/>
    <col min="7948" max="7952" width="8" style="71" customWidth="1"/>
    <col min="7953" max="8192" width="9.109375" style="71" hidden="1"/>
    <col min="8193" max="8193" width="6.88671875" style="71" customWidth="1"/>
    <col min="8194" max="8194" width="23.33203125" style="71" customWidth="1"/>
    <col min="8195" max="8195" width="42.88671875" style="71" customWidth="1"/>
    <col min="8196" max="8196" width="14" style="71" customWidth="1"/>
    <col min="8197" max="8197" width="14.109375" style="71" customWidth="1"/>
    <col min="8198" max="8198" width="13" style="71" customWidth="1"/>
    <col min="8199" max="8199" width="14" style="71" customWidth="1"/>
    <col min="8200" max="8200" width="15" style="71" customWidth="1"/>
    <col min="8201" max="8201" width="15.21875" style="71" customWidth="1"/>
    <col min="8202" max="8202" width="1.88671875" style="71" customWidth="1"/>
    <col min="8203" max="8203" width="10.5546875" style="71" customWidth="1"/>
    <col min="8204" max="8208" width="8" style="71" customWidth="1"/>
    <col min="8209" max="8448" width="9.109375" style="71" hidden="1"/>
    <col min="8449" max="8449" width="6.88671875" style="71" customWidth="1"/>
    <col min="8450" max="8450" width="23.33203125" style="71" customWidth="1"/>
    <col min="8451" max="8451" width="42.88671875" style="71" customWidth="1"/>
    <col min="8452" max="8452" width="14" style="71" customWidth="1"/>
    <col min="8453" max="8453" width="14.109375" style="71" customWidth="1"/>
    <col min="8454" max="8454" width="13" style="71" customWidth="1"/>
    <col min="8455" max="8455" width="14" style="71" customWidth="1"/>
    <col min="8456" max="8456" width="15" style="71" customWidth="1"/>
    <col min="8457" max="8457" width="15.21875" style="71" customWidth="1"/>
    <col min="8458" max="8458" width="1.88671875" style="71" customWidth="1"/>
    <col min="8459" max="8459" width="10.5546875" style="71" customWidth="1"/>
    <col min="8460" max="8464" width="8" style="71" customWidth="1"/>
    <col min="8465" max="8704" width="9.109375" style="71" hidden="1"/>
    <col min="8705" max="8705" width="6.88671875" style="71" customWidth="1"/>
    <col min="8706" max="8706" width="23.33203125" style="71" customWidth="1"/>
    <col min="8707" max="8707" width="42.88671875" style="71" customWidth="1"/>
    <col min="8708" max="8708" width="14" style="71" customWidth="1"/>
    <col min="8709" max="8709" width="14.109375" style="71" customWidth="1"/>
    <col min="8710" max="8710" width="13" style="71" customWidth="1"/>
    <col min="8711" max="8711" width="14" style="71" customWidth="1"/>
    <col min="8712" max="8712" width="15" style="71" customWidth="1"/>
    <col min="8713" max="8713" width="15.21875" style="71" customWidth="1"/>
    <col min="8714" max="8714" width="1.88671875" style="71" customWidth="1"/>
    <col min="8715" max="8715" width="10.5546875" style="71" customWidth="1"/>
    <col min="8716" max="8720" width="8" style="71" customWidth="1"/>
    <col min="8721" max="8960" width="9.109375" style="71" hidden="1"/>
    <col min="8961" max="8961" width="6.88671875" style="71" customWidth="1"/>
    <col min="8962" max="8962" width="23.33203125" style="71" customWidth="1"/>
    <col min="8963" max="8963" width="42.88671875" style="71" customWidth="1"/>
    <col min="8964" max="8964" width="14" style="71" customWidth="1"/>
    <col min="8965" max="8965" width="14.109375" style="71" customWidth="1"/>
    <col min="8966" max="8966" width="13" style="71" customWidth="1"/>
    <col min="8967" max="8967" width="14" style="71" customWidth="1"/>
    <col min="8968" max="8968" width="15" style="71" customWidth="1"/>
    <col min="8969" max="8969" width="15.21875" style="71" customWidth="1"/>
    <col min="8970" max="8970" width="1.88671875" style="71" customWidth="1"/>
    <col min="8971" max="8971" width="10.5546875" style="71" customWidth="1"/>
    <col min="8972" max="8976" width="8" style="71" customWidth="1"/>
    <col min="8977" max="9216" width="9.109375" style="71" hidden="1"/>
    <col min="9217" max="9217" width="6.88671875" style="71" customWidth="1"/>
    <col min="9218" max="9218" width="23.33203125" style="71" customWidth="1"/>
    <col min="9219" max="9219" width="42.88671875" style="71" customWidth="1"/>
    <col min="9220" max="9220" width="14" style="71" customWidth="1"/>
    <col min="9221" max="9221" width="14.109375" style="71" customWidth="1"/>
    <col min="9222" max="9222" width="13" style="71" customWidth="1"/>
    <col min="9223" max="9223" width="14" style="71" customWidth="1"/>
    <col min="9224" max="9224" width="15" style="71" customWidth="1"/>
    <col min="9225" max="9225" width="15.21875" style="71" customWidth="1"/>
    <col min="9226" max="9226" width="1.88671875" style="71" customWidth="1"/>
    <col min="9227" max="9227" width="10.5546875" style="71" customWidth="1"/>
    <col min="9228" max="9232" width="8" style="71" customWidth="1"/>
    <col min="9233" max="9472" width="9.109375" style="71" hidden="1"/>
    <col min="9473" max="9473" width="6.88671875" style="71" customWidth="1"/>
    <col min="9474" max="9474" width="23.33203125" style="71" customWidth="1"/>
    <col min="9475" max="9475" width="42.88671875" style="71" customWidth="1"/>
    <col min="9476" max="9476" width="14" style="71" customWidth="1"/>
    <col min="9477" max="9477" width="14.109375" style="71" customWidth="1"/>
    <col min="9478" max="9478" width="13" style="71" customWidth="1"/>
    <col min="9479" max="9479" width="14" style="71" customWidth="1"/>
    <col min="9480" max="9480" width="15" style="71" customWidth="1"/>
    <col min="9481" max="9481" width="15.21875" style="71" customWidth="1"/>
    <col min="9482" max="9482" width="1.88671875" style="71" customWidth="1"/>
    <col min="9483" max="9483" width="10.5546875" style="71" customWidth="1"/>
    <col min="9484" max="9488" width="8" style="71" customWidth="1"/>
    <col min="9489" max="9728" width="9.109375" style="71" hidden="1"/>
    <col min="9729" max="9729" width="6.88671875" style="71" customWidth="1"/>
    <col min="9730" max="9730" width="23.33203125" style="71" customWidth="1"/>
    <col min="9731" max="9731" width="42.88671875" style="71" customWidth="1"/>
    <col min="9732" max="9732" width="14" style="71" customWidth="1"/>
    <col min="9733" max="9733" width="14.109375" style="71" customWidth="1"/>
    <col min="9734" max="9734" width="13" style="71" customWidth="1"/>
    <col min="9735" max="9735" width="14" style="71" customWidth="1"/>
    <col min="9736" max="9736" width="15" style="71" customWidth="1"/>
    <col min="9737" max="9737" width="15.21875" style="71" customWidth="1"/>
    <col min="9738" max="9738" width="1.88671875" style="71" customWidth="1"/>
    <col min="9739" max="9739" width="10.5546875" style="71" customWidth="1"/>
    <col min="9740" max="9744" width="8" style="71" customWidth="1"/>
    <col min="9745" max="9984" width="9.109375" style="71" hidden="1"/>
    <col min="9985" max="9985" width="6.88671875" style="71" customWidth="1"/>
    <col min="9986" max="9986" width="23.33203125" style="71" customWidth="1"/>
    <col min="9987" max="9987" width="42.88671875" style="71" customWidth="1"/>
    <col min="9988" max="9988" width="14" style="71" customWidth="1"/>
    <col min="9989" max="9989" width="14.109375" style="71" customWidth="1"/>
    <col min="9990" max="9990" width="13" style="71" customWidth="1"/>
    <col min="9991" max="9991" width="14" style="71" customWidth="1"/>
    <col min="9992" max="9992" width="15" style="71" customWidth="1"/>
    <col min="9993" max="9993" width="15.21875" style="71" customWidth="1"/>
    <col min="9994" max="9994" width="1.88671875" style="71" customWidth="1"/>
    <col min="9995" max="9995" width="10.5546875" style="71" customWidth="1"/>
    <col min="9996" max="10000" width="8" style="71" customWidth="1"/>
    <col min="10001" max="10240" width="9.109375" style="71" hidden="1"/>
    <col min="10241" max="10241" width="6.88671875" style="71" customWidth="1"/>
    <col min="10242" max="10242" width="23.33203125" style="71" customWidth="1"/>
    <col min="10243" max="10243" width="42.88671875" style="71" customWidth="1"/>
    <col min="10244" max="10244" width="14" style="71" customWidth="1"/>
    <col min="10245" max="10245" width="14.109375" style="71" customWidth="1"/>
    <col min="10246" max="10246" width="13" style="71" customWidth="1"/>
    <col min="10247" max="10247" width="14" style="71" customWidth="1"/>
    <col min="10248" max="10248" width="15" style="71" customWidth="1"/>
    <col min="10249" max="10249" width="15.21875" style="71" customWidth="1"/>
    <col min="10250" max="10250" width="1.88671875" style="71" customWidth="1"/>
    <col min="10251" max="10251" width="10.5546875" style="71" customWidth="1"/>
    <col min="10252" max="10256" width="8" style="71" customWidth="1"/>
    <col min="10257" max="10496" width="9.109375" style="71" hidden="1"/>
    <col min="10497" max="10497" width="6.88671875" style="71" customWidth="1"/>
    <col min="10498" max="10498" width="23.33203125" style="71" customWidth="1"/>
    <col min="10499" max="10499" width="42.88671875" style="71" customWidth="1"/>
    <col min="10500" max="10500" width="14" style="71" customWidth="1"/>
    <col min="10501" max="10501" width="14.109375" style="71" customWidth="1"/>
    <col min="10502" max="10502" width="13" style="71" customWidth="1"/>
    <col min="10503" max="10503" width="14" style="71" customWidth="1"/>
    <col min="10504" max="10504" width="15" style="71" customWidth="1"/>
    <col min="10505" max="10505" width="15.21875" style="71" customWidth="1"/>
    <col min="10506" max="10506" width="1.88671875" style="71" customWidth="1"/>
    <col min="10507" max="10507" width="10.5546875" style="71" customWidth="1"/>
    <col min="10508" max="10512" width="8" style="71" customWidth="1"/>
    <col min="10513" max="10752" width="9.109375" style="71" hidden="1"/>
    <col min="10753" max="10753" width="6.88671875" style="71" customWidth="1"/>
    <col min="10754" max="10754" width="23.33203125" style="71" customWidth="1"/>
    <col min="10755" max="10755" width="42.88671875" style="71" customWidth="1"/>
    <col min="10756" max="10756" width="14" style="71" customWidth="1"/>
    <col min="10757" max="10757" width="14.109375" style="71" customWidth="1"/>
    <col min="10758" max="10758" width="13" style="71" customWidth="1"/>
    <col min="10759" max="10759" width="14" style="71" customWidth="1"/>
    <col min="10760" max="10760" width="15" style="71" customWidth="1"/>
    <col min="10761" max="10761" width="15.21875" style="71" customWidth="1"/>
    <col min="10762" max="10762" width="1.88671875" style="71" customWidth="1"/>
    <col min="10763" max="10763" width="10.5546875" style="71" customWidth="1"/>
    <col min="10764" max="10768" width="8" style="71" customWidth="1"/>
    <col min="10769" max="11008" width="9.109375" style="71" hidden="1"/>
    <col min="11009" max="11009" width="6.88671875" style="71" customWidth="1"/>
    <col min="11010" max="11010" width="23.33203125" style="71" customWidth="1"/>
    <col min="11011" max="11011" width="42.88671875" style="71" customWidth="1"/>
    <col min="11012" max="11012" width="14" style="71" customWidth="1"/>
    <col min="11013" max="11013" width="14.109375" style="71" customWidth="1"/>
    <col min="11014" max="11014" width="13" style="71" customWidth="1"/>
    <col min="11015" max="11015" width="14" style="71" customWidth="1"/>
    <col min="11016" max="11016" width="15" style="71" customWidth="1"/>
    <col min="11017" max="11017" width="15.21875" style="71" customWidth="1"/>
    <col min="11018" max="11018" width="1.88671875" style="71" customWidth="1"/>
    <col min="11019" max="11019" width="10.5546875" style="71" customWidth="1"/>
    <col min="11020" max="11024" width="8" style="71" customWidth="1"/>
    <col min="11025" max="11264" width="9.109375" style="71" hidden="1"/>
    <col min="11265" max="11265" width="6.88671875" style="71" customWidth="1"/>
    <col min="11266" max="11266" width="23.33203125" style="71" customWidth="1"/>
    <col min="11267" max="11267" width="42.88671875" style="71" customWidth="1"/>
    <col min="11268" max="11268" width="14" style="71" customWidth="1"/>
    <col min="11269" max="11269" width="14.109375" style="71" customWidth="1"/>
    <col min="11270" max="11270" width="13" style="71" customWidth="1"/>
    <col min="11271" max="11271" width="14" style="71" customWidth="1"/>
    <col min="11272" max="11272" width="15" style="71" customWidth="1"/>
    <col min="11273" max="11273" width="15.21875" style="71" customWidth="1"/>
    <col min="11274" max="11274" width="1.88671875" style="71" customWidth="1"/>
    <col min="11275" max="11275" width="10.5546875" style="71" customWidth="1"/>
    <col min="11276" max="11280" width="8" style="71" customWidth="1"/>
    <col min="11281" max="11520" width="9.109375" style="71" hidden="1"/>
    <col min="11521" max="11521" width="6.88671875" style="71" customWidth="1"/>
    <col min="11522" max="11522" width="23.33203125" style="71" customWidth="1"/>
    <col min="11523" max="11523" width="42.88671875" style="71" customWidth="1"/>
    <col min="11524" max="11524" width="14" style="71" customWidth="1"/>
    <col min="11525" max="11525" width="14.109375" style="71" customWidth="1"/>
    <col min="11526" max="11526" width="13" style="71" customWidth="1"/>
    <col min="11527" max="11527" width="14" style="71" customWidth="1"/>
    <col min="11528" max="11528" width="15" style="71" customWidth="1"/>
    <col min="11529" max="11529" width="15.21875" style="71" customWidth="1"/>
    <col min="11530" max="11530" width="1.88671875" style="71" customWidth="1"/>
    <col min="11531" max="11531" width="10.5546875" style="71" customWidth="1"/>
    <col min="11532" max="11536" width="8" style="71" customWidth="1"/>
    <col min="11537" max="11776" width="9.109375" style="71" hidden="1"/>
    <col min="11777" max="11777" width="6.88671875" style="71" customWidth="1"/>
    <col min="11778" max="11778" width="23.33203125" style="71" customWidth="1"/>
    <col min="11779" max="11779" width="42.88671875" style="71" customWidth="1"/>
    <col min="11780" max="11780" width="14" style="71" customWidth="1"/>
    <col min="11781" max="11781" width="14.109375" style="71" customWidth="1"/>
    <col min="11782" max="11782" width="13" style="71" customWidth="1"/>
    <col min="11783" max="11783" width="14" style="71" customWidth="1"/>
    <col min="11784" max="11784" width="15" style="71" customWidth="1"/>
    <col min="11785" max="11785" width="15.21875" style="71" customWidth="1"/>
    <col min="11786" max="11786" width="1.88671875" style="71" customWidth="1"/>
    <col min="11787" max="11787" width="10.5546875" style="71" customWidth="1"/>
    <col min="11788" max="11792" width="8" style="71" customWidth="1"/>
    <col min="11793" max="12032" width="9.109375" style="71" hidden="1"/>
    <col min="12033" max="12033" width="6.88671875" style="71" customWidth="1"/>
    <col min="12034" max="12034" width="23.33203125" style="71" customWidth="1"/>
    <col min="12035" max="12035" width="42.88671875" style="71" customWidth="1"/>
    <col min="12036" max="12036" width="14" style="71" customWidth="1"/>
    <col min="12037" max="12037" width="14.109375" style="71" customWidth="1"/>
    <col min="12038" max="12038" width="13" style="71" customWidth="1"/>
    <col min="12039" max="12039" width="14" style="71" customWidth="1"/>
    <col min="12040" max="12040" width="15" style="71" customWidth="1"/>
    <col min="12041" max="12041" width="15.21875" style="71" customWidth="1"/>
    <col min="12042" max="12042" width="1.88671875" style="71" customWidth="1"/>
    <col min="12043" max="12043" width="10.5546875" style="71" customWidth="1"/>
    <col min="12044" max="12048" width="8" style="71" customWidth="1"/>
    <col min="12049" max="12288" width="9.109375" style="71" hidden="1"/>
    <col min="12289" max="12289" width="6.88671875" style="71" customWidth="1"/>
    <col min="12290" max="12290" width="23.33203125" style="71" customWidth="1"/>
    <col min="12291" max="12291" width="42.88671875" style="71" customWidth="1"/>
    <col min="12292" max="12292" width="14" style="71" customWidth="1"/>
    <col min="12293" max="12293" width="14.109375" style="71" customWidth="1"/>
    <col min="12294" max="12294" width="13" style="71" customWidth="1"/>
    <col min="12295" max="12295" width="14" style="71" customWidth="1"/>
    <col min="12296" max="12296" width="15" style="71" customWidth="1"/>
    <col min="12297" max="12297" width="15.21875" style="71" customWidth="1"/>
    <col min="12298" max="12298" width="1.88671875" style="71" customWidth="1"/>
    <col min="12299" max="12299" width="10.5546875" style="71" customWidth="1"/>
    <col min="12300" max="12304" width="8" style="71" customWidth="1"/>
    <col min="12305" max="12544" width="9.109375" style="71" hidden="1"/>
    <col min="12545" max="12545" width="6.88671875" style="71" customWidth="1"/>
    <col min="12546" max="12546" width="23.33203125" style="71" customWidth="1"/>
    <col min="12547" max="12547" width="42.88671875" style="71" customWidth="1"/>
    <col min="12548" max="12548" width="14" style="71" customWidth="1"/>
    <col min="12549" max="12549" width="14.109375" style="71" customWidth="1"/>
    <col min="12550" max="12550" width="13" style="71" customWidth="1"/>
    <col min="12551" max="12551" width="14" style="71" customWidth="1"/>
    <col min="12552" max="12552" width="15" style="71" customWidth="1"/>
    <col min="12553" max="12553" width="15.21875" style="71" customWidth="1"/>
    <col min="12554" max="12554" width="1.88671875" style="71" customWidth="1"/>
    <col min="12555" max="12555" width="10.5546875" style="71" customWidth="1"/>
    <col min="12556" max="12560" width="8" style="71" customWidth="1"/>
    <col min="12561" max="12800" width="9.109375" style="71" hidden="1"/>
    <col min="12801" max="12801" width="6.88671875" style="71" customWidth="1"/>
    <col min="12802" max="12802" width="23.33203125" style="71" customWidth="1"/>
    <col min="12803" max="12803" width="42.88671875" style="71" customWidth="1"/>
    <col min="12804" max="12804" width="14" style="71" customWidth="1"/>
    <col min="12805" max="12805" width="14.109375" style="71" customWidth="1"/>
    <col min="12806" max="12806" width="13" style="71" customWidth="1"/>
    <col min="12807" max="12807" width="14" style="71" customWidth="1"/>
    <col min="12808" max="12808" width="15" style="71" customWidth="1"/>
    <col min="12809" max="12809" width="15.21875" style="71" customWidth="1"/>
    <col min="12810" max="12810" width="1.88671875" style="71" customWidth="1"/>
    <col min="12811" max="12811" width="10.5546875" style="71" customWidth="1"/>
    <col min="12812" max="12816" width="8" style="71" customWidth="1"/>
    <col min="12817" max="13056" width="9.109375" style="71" hidden="1"/>
    <col min="13057" max="13057" width="6.88671875" style="71" customWidth="1"/>
    <col min="13058" max="13058" width="23.33203125" style="71" customWidth="1"/>
    <col min="13059" max="13059" width="42.88671875" style="71" customWidth="1"/>
    <col min="13060" max="13060" width="14" style="71" customWidth="1"/>
    <col min="13061" max="13061" width="14.109375" style="71" customWidth="1"/>
    <col min="13062" max="13062" width="13" style="71" customWidth="1"/>
    <col min="13063" max="13063" width="14" style="71" customWidth="1"/>
    <col min="13064" max="13064" width="15" style="71" customWidth="1"/>
    <col min="13065" max="13065" width="15.21875" style="71" customWidth="1"/>
    <col min="13066" max="13066" width="1.88671875" style="71" customWidth="1"/>
    <col min="13067" max="13067" width="10.5546875" style="71" customWidth="1"/>
    <col min="13068" max="13072" width="8" style="71" customWidth="1"/>
    <col min="13073" max="13312" width="9.109375" style="71" hidden="1"/>
    <col min="13313" max="13313" width="6.88671875" style="71" customWidth="1"/>
    <col min="13314" max="13314" width="23.33203125" style="71" customWidth="1"/>
    <col min="13315" max="13315" width="42.88671875" style="71" customWidth="1"/>
    <col min="13316" max="13316" width="14" style="71" customWidth="1"/>
    <col min="13317" max="13317" width="14.109375" style="71" customWidth="1"/>
    <col min="13318" max="13318" width="13" style="71" customWidth="1"/>
    <col min="13319" max="13319" width="14" style="71" customWidth="1"/>
    <col min="13320" max="13320" width="15" style="71" customWidth="1"/>
    <col min="13321" max="13321" width="15.21875" style="71" customWidth="1"/>
    <col min="13322" max="13322" width="1.88671875" style="71" customWidth="1"/>
    <col min="13323" max="13323" width="10.5546875" style="71" customWidth="1"/>
    <col min="13324" max="13328" width="8" style="71" customWidth="1"/>
    <col min="13329" max="13568" width="9.109375" style="71" hidden="1"/>
    <col min="13569" max="13569" width="6.88671875" style="71" customWidth="1"/>
    <col min="13570" max="13570" width="23.33203125" style="71" customWidth="1"/>
    <col min="13571" max="13571" width="42.88671875" style="71" customWidth="1"/>
    <col min="13572" max="13572" width="14" style="71" customWidth="1"/>
    <col min="13573" max="13573" width="14.109375" style="71" customWidth="1"/>
    <col min="13574" max="13574" width="13" style="71" customWidth="1"/>
    <col min="13575" max="13575" width="14" style="71" customWidth="1"/>
    <col min="13576" max="13576" width="15" style="71" customWidth="1"/>
    <col min="13577" max="13577" width="15.21875" style="71" customWidth="1"/>
    <col min="13578" max="13578" width="1.88671875" style="71" customWidth="1"/>
    <col min="13579" max="13579" width="10.5546875" style="71" customWidth="1"/>
    <col min="13580" max="13584" width="8" style="71" customWidth="1"/>
    <col min="13585" max="13824" width="9.109375" style="71" hidden="1"/>
    <col min="13825" max="13825" width="6.88671875" style="71" customWidth="1"/>
    <col min="13826" max="13826" width="23.33203125" style="71" customWidth="1"/>
    <col min="13827" max="13827" width="42.88671875" style="71" customWidth="1"/>
    <col min="13828" max="13828" width="14" style="71" customWidth="1"/>
    <col min="13829" max="13829" width="14.109375" style="71" customWidth="1"/>
    <col min="13830" max="13830" width="13" style="71" customWidth="1"/>
    <col min="13831" max="13831" width="14" style="71" customWidth="1"/>
    <col min="13832" max="13832" width="15" style="71" customWidth="1"/>
    <col min="13833" max="13833" width="15.21875" style="71" customWidth="1"/>
    <col min="13834" max="13834" width="1.88671875" style="71" customWidth="1"/>
    <col min="13835" max="13835" width="10.5546875" style="71" customWidth="1"/>
    <col min="13836" max="13840" width="8" style="71" customWidth="1"/>
    <col min="13841" max="14080" width="9.109375" style="71" hidden="1"/>
    <col min="14081" max="14081" width="6.88671875" style="71" customWidth="1"/>
    <col min="14082" max="14082" width="23.33203125" style="71" customWidth="1"/>
    <col min="14083" max="14083" width="42.88671875" style="71" customWidth="1"/>
    <col min="14084" max="14084" width="14" style="71" customWidth="1"/>
    <col min="14085" max="14085" width="14.109375" style="71" customWidth="1"/>
    <col min="14086" max="14086" width="13" style="71" customWidth="1"/>
    <col min="14087" max="14087" width="14" style="71" customWidth="1"/>
    <col min="14088" max="14088" width="15" style="71" customWidth="1"/>
    <col min="14089" max="14089" width="15.21875" style="71" customWidth="1"/>
    <col min="14090" max="14090" width="1.88671875" style="71" customWidth="1"/>
    <col min="14091" max="14091" width="10.5546875" style="71" customWidth="1"/>
    <col min="14092" max="14096" width="8" style="71" customWidth="1"/>
    <col min="14097" max="14336" width="9.109375" style="71" hidden="1"/>
    <col min="14337" max="14337" width="6.88671875" style="71" customWidth="1"/>
    <col min="14338" max="14338" width="23.33203125" style="71" customWidth="1"/>
    <col min="14339" max="14339" width="42.88671875" style="71" customWidth="1"/>
    <col min="14340" max="14340" width="14" style="71" customWidth="1"/>
    <col min="14341" max="14341" width="14.109375" style="71" customWidth="1"/>
    <col min="14342" max="14342" width="13" style="71" customWidth="1"/>
    <col min="14343" max="14343" width="14" style="71" customWidth="1"/>
    <col min="14344" max="14344" width="15" style="71" customWidth="1"/>
    <col min="14345" max="14345" width="15.21875" style="71" customWidth="1"/>
    <col min="14346" max="14346" width="1.88671875" style="71" customWidth="1"/>
    <col min="14347" max="14347" width="10.5546875" style="71" customWidth="1"/>
    <col min="14348" max="14352" width="8" style="71" customWidth="1"/>
    <col min="14353" max="14592" width="9.109375" style="71" hidden="1"/>
    <col min="14593" max="14593" width="6.88671875" style="71" customWidth="1"/>
    <col min="14594" max="14594" width="23.33203125" style="71" customWidth="1"/>
    <col min="14595" max="14595" width="42.88671875" style="71" customWidth="1"/>
    <col min="14596" max="14596" width="14" style="71" customWidth="1"/>
    <col min="14597" max="14597" width="14.109375" style="71" customWidth="1"/>
    <col min="14598" max="14598" width="13" style="71" customWidth="1"/>
    <col min="14599" max="14599" width="14" style="71" customWidth="1"/>
    <col min="14600" max="14600" width="15" style="71" customWidth="1"/>
    <col min="14601" max="14601" width="15.21875" style="71" customWidth="1"/>
    <col min="14602" max="14602" width="1.88671875" style="71" customWidth="1"/>
    <col min="14603" max="14603" width="10.5546875" style="71" customWidth="1"/>
    <col min="14604" max="14608" width="8" style="71" customWidth="1"/>
    <col min="14609" max="14848" width="9.109375" style="71" hidden="1"/>
    <col min="14849" max="14849" width="6.88671875" style="71" customWidth="1"/>
    <col min="14850" max="14850" width="23.33203125" style="71" customWidth="1"/>
    <col min="14851" max="14851" width="42.88671875" style="71" customWidth="1"/>
    <col min="14852" max="14852" width="14" style="71" customWidth="1"/>
    <col min="14853" max="14853" width="14.109375" style="71" customWidth="1"/>
    <col min="14854" max="14854" width="13" style="71" customWidth="1"/>
    <col min="14855" max="14855" width="14" style="71" customWidth="1"/>
    <col min="14856" max="14856" width="15" style="71" customWidth="1"/>
    <col min="14857" max="14857" width="15.21875" style="71" customWidth="1"/>
    <col min="14858" max="14858" width="1.88671875" style="71" customWidth="1"/>
    <col min="14859" max="14859" width="10.5546875" style="71" customWidth="1"/>
    <col min="14860" max="14864" width="8" style="71" customWidth="1"/>
    <col min="14865" max="15104" width="9.109375" style="71" hidden="1"/>
    <col min="15105" max="15105" width="6.88671875" style="71" customWidth="1"/>
    <col min="15106" max="15106" width="23.33203125" style="71" customWidth="1"/>
    <col min="15107" max="15107" width="42.88671875" style="71" customWidth="1"/>
    <col min="15108" max="15108" width="14" style="71" customWidth="1"/>
    <col min="15109" max="15109" width="14.109375" style="71" customWidth="1"/>
    <col min="15110" max="15110" width="13" style="71" customWidth="1"/>
    <col min="15111" max="15111" width="14" style="71" customWidth="1"/>
    <col min="15112" max="15112" width="15" style="71" customWidth="1"/>
    <col min="15113" max="15113" width="15.21875" style="71" customWidth="1"/>
    <col min="15114" max="15114" width="1.88671875" style="71" customWidth="1"/>
    <col min="15115" max="15115" width="10.5546875" style="71" customWidth="1"/>
    <col min="15116" max="15120" width="8" style="71" customWidth="1"/>
    <col min="15121" max="15360" width="9.109375" style="71" hidden="1"/>
    <col min="15361" max="15361" width="6.88671875" style="71" customWidth="1"/>
    <col min="15362" max="15362" width="23.33203125" style="71" customWidth="1"/>
    <col min="15363" max="15363" width="42.88671875" style="71" customWidth="1"/>
    <col min="15364" max="15364" width="14" style="71" customWidth="1"/>
    <col min="15365" max="15365" width="14.109375" style="71" customWidth="1"/>
    <col min="15366" max="15366" width="13" style="71" customWidth="1"/>
    <col min="15367" max="15367" width="14" style="71" customWidth="1"/>
    <col min="15368" max="15368" width="15" style="71" customWidth="1"/>
    <col min="15369" max="15369" width="15.21875" style="71" customWidth="1"/>
    <col min="15370" max="15370" width="1.88671875" style="71" customWidth="1"/>
    <col min="15371" max="15371" width="10.5546875" style="71" customWidth="1"/>
    <col min="15372" max="15376" width="8" style="71" customWidth="1"/>
    <col min="15377" max="15616" width="9.109375" style="71" hidden="1"/>
    <col min="15617" max="15617" width="6.88671875" style="71" customWidth="1"/>
    <col min="15618" max="15618" width="23.33203125" style="71" customWidth="1"/>
    <col min="15619" max="15619" width="42.88671875" style="71" customWidth="1"/>
    <col min="15620" max="15620" width="14" style="71" customWidth="1"/>
    <col min="15621" max="15621" width="14.109375" style="71" customWidth="1"/>
    <col min="15622" max="15622" width="13" style="71" customWidth="1"/>
    <col min="15623" max="15623" width="14" style="71" customWidth="1"/>
    <col min="15624" max="15624" width="15" style="71" customWidth="1"/>
    <col min="15625" max="15625" width="15.21875" style="71" customWidth="1"/>
    <col min="15626" max="15626" width="1.88671875" style="71" customWidth="1"/>
    <col min="15627" max="15627" width="10.5546875" style="71" customWidth="1"/>
    <col min="15628" max="15632" width="8" style="71" customWidth="1"/>
    <col min="15633" max="15872" width="9.109375" style="71" hidden="1"/>
    <col min="15873" max="15873" width="6.88671875" style="71" customWidth="1"/>
    <col min="15874" max="15874" width="23.33203125" style="71" customWidth="1"/>
    <col min="15875" max="15875" width="42.88671875" style="71" customWidth="1"/>
    <col min="15876" max="15876" width="14" style="71" customWidth="1"/>
    <col min="15877" max="15877" width="14.109375" style="71" customWidth="1"/>
    <col min="15878" max="15878" width="13" style="71" customWidth="1"/>
    <col min="15879" max="15879" width="14" style="71" customWidth="1"/>
    <col min="15880" max="15880" width="15" style="71" customWidth="1"/>
    <col min="15881" max="15881" width="15.21875" style="71" customWidth="1"/>
    <col min="15882" max="15882" width="1.88671875" style="71" customWidth="1"/>
    <col min="15883" max="15883" width="10.5546875" style="71" customWidth="1"/>
    <col min="15884" max="15888" width="8" style="71" customWidth="1"/>
    <col min="15889" max="16128" width="9.109375" style="71" hidden="1"/>
    <col min="16129" max="16129" width="6.88671875" style="71" customWidth="1"/>
    <col min="16130" max="16130" width="23.33203125" style="71" customWidth="1"/>
    <col min="16131" max="16131" width="42.88671875" style="71" customWidth="1"/>
    <col min="16132" max="16132" width="14" style="71" customWidth="1"/>
    <col min="16133" max="16133" width="14.109375" style="71" customWidth="1"/>
    <col min="16134" max="16134" width="13" style="71" customWidth="1"/>
    <col min="16135" max="16135" width="14" style="71" customWidth="1"/>
    <col min="16136" max="16136" width="15" style="71" customWidth="1"/>
    <col min="16137" max="16137" width="15.21875" style="71" customWidth="1"/>
    <col min="16138" max="16138" width="1.88671875" style="71" customWidth="1"/>
    <col min="16139" max="16139" width="10.5546875" style="71" customWidth="1"/>
    <col min="16140" max="16144" width="8" style="71" customWidth="1"/>
    <col min="16145" max="16145" width="0" style="71" hidden="1"/>
    <col min="16146" max="16384" width="9.109375" style="71" hidden="1"/>
  </cols>
  <sheetData>
    <row r="1" spans="1:1294" s="238" customFormat="1" ht="21.6" customHeight="1">
      <c r="A1" s="511" t="s">
        <v>74</v>
      </c>
      <c r="B1" s="511"/>
      <c r="C1" s="511"/>
      <c r="D1" s="511"/>
      <c r="E1" s="511"/>
      <c r="F1" s="511"/>
      <c r="G1" s="511"/>
      <c r="H1" s="511"/>
    </row>
    <row r="2" spans="1:1294" s="238" customFormat="1" ht="21.6" customHeight="1">
      <c r="A2" s="512" t="s">
        <v>122</v>
      </c>
      <c r="B2" s="512"/>
      <c r="C2" s="512"/>
      <c r="D2" s="512"/>
      <c r="E2" s="512"/>
      <c r="F2" s="512"/>
      <c r="G2" s="512"/>
      <c r="H2" s="512"/>
    </row>
    <row r="3" spans="1:1294" s="238" customFormat="1" ht="20.399999999999999" customHeight="1">
      <c r="A3" s="238" t="s">
        <v>8</v>
      </c>
      <c r="E3" s="244"/>
      <c r="F3" s="244"/>
      <c r="G3" s="362">
        <v>0</v>
      </c>
      <c r="H3" s="244"/>
    </row>
    <row r="4" spans="1:1294" s="58" customFormat="1" ht="36.6" customHeight="1">
      <c r="A4" s="59" t="s">
        <v>0</v>
      </c>
      <c r="B4" s="59" t="s">
        <v>2</v>
      </c>
      <c r="C4" s="59" t="s">
        <v>6</v>
      </c>
      <c r="D4" s="59" t="s">
        <v>9</v>
      </c>
      <c r="E4" s="61" t="s">
        <v>26</v>
      </c>
      <c r="F4" s="60" t="s">
        <v>3</v>
      </c>
      <c r="G4" s="61" t="s">
        <v>10</v>
      </c>
      <c r="H4" s="62" t="s">
        <v>4</v>
      </c>
    </row>
    <row r="5" spans="1:1294" s="58" customFormat="1" ht="19.05" customHeight="1">
      <c r="A5" s="63">
        <v>1</v>
      </c>
      <c r="B5" s="513" t="s">
        <v>19</v>
      </c>
      <c r="C5" s="85" t="s">
        <v>82</v>
      </c>
      <c r="D5" s="507" t="s">
        <v>76</v>
      </c>
      <c r="E5" s="92">
        <f>COUNTIFS(Table13514520105[[#All],[Sales]],"คุณนิมิต จุ้ยอยู่ทอง",Table13514520105[[#All],[รายการเบิก
คอมขาย]],"&gt;0")</f>
        <v>1</v>
      </c>
      <c r="F5" s="72">
        <f>SUMIF(Table13514520105[[#All],[Sales]],"คุณนิมิต จุ้ยอยู่ทอง",Table13514520105[[#All],[รายการเบิก
คอมขาย]])</f>
        <v>4542.0600000000004</v>
      </c>
      <c r="G5" s="88">
        <f t="shared" ref="G5:G15" si="0">F5*$G$3</f>
        <v>0</v>
      </c>
      <c r="H5" s="88">
        <f>SUM(F5-G5)</f>
        <v>4542.0600000000004</v>
      </c>
      <c r="I5" s="180"/>
      <c r="J5" s="89"/>
    </row>
    <row r="6" spans="1:1294" s="58" customFormat="1" ht="19.05" customHeight="1">
      <c r="A6" s="63"/>
      <c r="B6" s="514"/>
      <c r="C6" s="85" t="s">
        <v>83</v>
      </c>
      <c r="D6" s="522"/>
      <c r="E6" s="92">
        <f>COUNTIFS(Table13514520105[[#All],[Sales]],"คุณธวัช มีแสง",Table13514520105[[#All],[รายการเบิก
คอมขาย]],"&gt;0")</f>
        <v>0</v>
      </c>
      <c r="F6" s="72">
        <f>SUMIF(Table13514520105[[#All],[Sales]],"คุณธวัช มีแสง",Table13514520105[[#All],[รายการเบิก
คอมขาย]])</f>
        <v>0</v>
      </c>
      <c r="G6" s="88">
        <f t="shared" si="0"/>
        <v>0</v>
      </c>
      <c r="H6" s="88">
        <f t="shared" ref="H6:H7" si="1">SUM(F6-G6)</f>
        <v>0</v>
      </c>
      <c r="I6" s="64"/>
      <c r="J6" s="90"/>
    </row>
    <row r="7" spans="1:1294" s="58" customFormat="1" ht="19.05" customHeight="1">
      <c r="A7" s="63"/>
      <c r="B7" s="514"/>
      <c r="C7" s="85" t="s">
        <v>84</v>
      </c>
      <c r="D7" s="522"/>
      <c r="E7" s="92">
        <f>COUNTIFS(Table13514520105[[#All],[Sales]],"คุณแดง มูลสองแคว",Table13514520105[[#All],[รายการเบิก
คอมขาย]],"&gt;0")</f>
        <v>0</v>
      </c>
      <c r="F7" s="72">
        <f>SUMIF(Table13514520105[[#All],[Sales]],"คุณแดง มูลสองแคว",Table13514520105[[#All],[รายการเบิก
คอมขาย]])</f>
        <v>0</v>
      </c>
      <c r="G7" s="88">
        <f t="shared" si="0"/>
        <v>0</v>
      </c>
      <c r="H7" s="88">
        <f t="shared" si="1"/>
        <v>0</v>
      </c>
      <c r="I7" s="64"/>
      <c r="J7" s="90"/>
    </row>
    <row r="8" spans="1:1294" s="58" customFormat="1" ht="19.05" customHeight="1">
      <c r="A8" s="63"/>
      <c r="B8" s="514"/>
      <c r="C8" s="177" t="s">
        <v>85</v>
      </c>
      <c r="D8" s="522"/>
      <c r="E8" s="92">
        <f>COUNTIFS(Table13514520105[[#All],[Sales]],"คุณนิยนต์ อยู่ทะเล",Table13514520105[[#All],[รายการเบิก
คอมขาย]],"&gt;0")</f>
        <v>0</v>
      </c>
      <c r="F8" s="72">
        <f>SUMIF(Table13514520105[[#All],[Sales]],"คุณนิยนต์ อยู่ทะเล",Table13514520105[[#All],[รายการเบิก
คอมขาย]])</f>
        <v>0</v>
      </c>
      <c r="G8" s="88">
        <f t="shared" ref="G8" si="2">F8*$G$3</f>
        <v>0</v>
      </c>
      <c r="H8" s="88">
        <f t="shared" ref="H8" si="3">SUM(F8-G8)</f>
        <v>0</v>
      </c>
      <c r="I8" s="64"/>
      <c r="J8" s="90"/>
    </row>
    <row r="9" spans="1:1294" s="58" customFormat="1" ht="19.05" customHeight="1">
      <c r="A9" s="63"/>
      <c r="B9" s="514"/>
      <c r="C9" s="185" t="s">
        <v>78</v>
      </c>
      <c r="D9" s="522"/>
      <c r="E9" s="92">
        <f>COUNTIFS(Table13514520105[[#All],[Sales]],"คุณรุ่งอรุณ อินบุญรอด",Table13514520105[[#All],[รายการเบิก
คอมขาย]],"&gt;0")</f>
        <v>0</v>
      </c>
      <c r="F9" s="72">
        <f>SUMIF(Table13514520105[[#All],[Sales]],"คุณรุ่งอรุณ อินบุญรอด",Table13514520105[[#All],[รายการเบิก
คอมขาย]])</f>
        <v>0</v>
      </c>
      <c r="G9" s="88">
        <f t="shared" ref="G9" si="4">F9*$G$3</f>
        <v>0</v>
      </c>
      <c r="H9" s="88">
        <f t="shared" ref="H9" si="5">SUM(F9-G9)</f>
        <v>0</v>
      </c>
      <c r="I9" s="64"/>
      <c r="J9" s="90"/>
    </row>
    <row r="10" spans="1:1294" s="58" customFormat="1" ht="19.05" customHeight="1">
      <c r="A10" s="63"/>
      <c r="B10" s="514"/>
      <c r="C10" s="185" t="s">
        <v>79</v>
      </c>
      <c r="D10" s="522"/>
      <c r="E10" s="92">
        <f>COUNTIFS(Table13514520105[[#All],[Sales]],"คุณศศินาถ จุ้ยอยู่ทอง",Table13514520105[[#All],[รายการเบิก
คอมขาย]],"&gt;0")</f>
        <v>0</v>
      </c>
      <c r="F10" s="72">
        <f>SUMIF(Table13514520105[[#All],[Sales]],"คุณศศินาถ จุ้ยอยู่ทอง",Table13514520105[[#All],[รายการเบิก
คอมขาย]])</f>
        <v>0</v>
      </c>
      <c r="G10" s="88">
        <f t="shared" ref="G10" si="6">F10*$G$3</f>
        <v>0</v>
      </c>
      <c r="H10" s="88">
        <f t="shared" ref="H10" si="7">SUM(F10-G10)</f>
        <v>0</v>
      </c>
      <c r="I10" s="64"/>
      <c r="J10" s="90"/>
    </row>
    <row r="11" spans="1:1294" s="58" customFormat="1" ht="19.05" customHeight="1">
      <c r="A11" s="63"/>
      <c r="B11" s="514"/>
      <c r="C11" s="360" t="s">
        <v>103</v>
      </c>
      <c r="D11" s="522"/>
      <c r="E11" s="92">
        <f>COUNTIFS(Table13514520105[[#All],[Sales]],"คุณณรงศ์ศักย์ เหล่ารัตนเวช",Table13514520105[[#All],[รายการเบิก
คอมขาย]],"&gt;0")</f>
        <v>0</v>
      </c>
      <c r="F11" s="72">
        <f>SUMIF(Table13514520105[[#All],[Sales]],"คุณณรงศ์ศักย์ เหล่ารัตนเวช",Table13514520105[[#All],[รายการเบิก
คอมขาย]])</f>
        <v>0</v>
      </c>
      <c r="G11" s="88">
        <f t="shared" ref="G11" si="8">F11*$G$3</f>
        <v>0</v>
      </c>
      <c r="H11" s="88">
        <f t="shared" ref="H11" si="9">SUM(F11-G11)</f>
        <v>0</v>
      </c>
      <c r="I11" s="64"/>
      <c r="J11" s="90"/>
    </row>
    <row r="12" spans="1:1294" s="58" customFormat="1" ht="19.05" customHeight="1">
      <c r="A12" s="63"/>
      <c r="B12" s="515"/>
      <c r="C12" s="85" t="s">
        <v>81</v>
      </c>
      <c r="D12" s="523"/>
      <c r="E12" s="92">
        <f>COUNTIFS(Table13514520105[[#All],[Sales]],"คุณธัญลักษณ์ หมื่นหลุบกุง",Table13514520105[[#All],[รายการเบิก
คอมขาย]],"&gt;0")</f>
        <v>0</v>
      </c>
      <c r="F12" s="72">
        <f>SUMIF(Table13514520105[[#All],[Sales]],"คุณธัญลักษณ์ หมื่นหลุบกุง",Table13514520105[[#All],[รายการเบิก
คอมขาย]])</f>
        <v>0</v>
      </c>
      <c r="G12" s="88">
        <f>F12*$G$3</f>
        <v>0</v>
      </c>
      <c r="H12" s="88">
        <f>SUM(F12-G12)</f>
        <v>0</v>
      </c>
      <c r="I12" s="64"/>
      <c r="J12" s="90"/>
    </row>
    <row r="13" spans="1:1294" s="65" customFormat="1" ht="19.05" customHeight="1">
      <c r="A13" s="82">
        <v>2</v>
      </c>
      <c r="B13" s="516" t="s">
        <v>11</v>
      </c>
      <c r="C13" s="85" t="s">
        <v>82</v>
      </c>
      <c r="D13" s="524" t="s">
        <v>28</v>
      </c>
      <c r="E13" s="93">
        <f>COUNTIFS(Table13514520105[[#All],[Sales]],"คุณนิมิต จุ้ยอยู่ทอง",Table13514520105[[#All],[ค่าขายอุปกรณ์]],"&gt;1")</f>
        <v>0</v>
      </c>
      <c r="F13" s="88">
        <f>SUMIF(Table13514520105[[#All],[Sales]],"คุณนิมิต จุ้ยอยู่ทอง",Table13514520105[[#All],[Total
คอมฯ อุปกรณ์]])</f>
        <v>0</v>
      </c>
      <c r="G13" s="88">
        <f t="shared" si="0"/>
        <v>0</v>
      </c>
      <c r="H13" s="88">
        <f>SUM(F13-G13)</f>
        <v>0</v>
      </c>
      <c r="I13" s="64"/>
      <c r="J13" s="91"/>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c r="JQ13" s="58"/>
      <c r="JR13" s="58"/>
      <c r="JS13" s="58"/>
      <c r="JT13" s="58"/>
      <c r="JU13" s="58"/>
      <c r="JV13" s="58"/>
      <c r="JW13" s="58"/>
      <c r="JX13" s="58"/>
      <c r="JY13" s="58"/>
      <c r="JZ13" s="58"/>
      <c r="KA13" s="58"/>
      <c r="KB13" s="58"/>
      <c r="KC13" s="58"/>
      <c r="KD13" s="58"/>
      <c r="KE13" s="58"/>
      <c r="KF13" s="58"/>
      <c r="KG13" s="58"/>
      <c r="KH13" s="58"/>
      <c r="KI13" s="58"/>
      <c r="KJ13" s="58"/>
      <c r="KK13" s="58"/>
      <c r="KL13" s="58"/>
      <c r="KM13" s="58"/>
      <c r="KN13" s="58"/>
      <c r="KO13" s="58"/>
      <c r="KP13" s="58"/>
      <c r="KQ13" s="58"/>
      <c r="KR13" s="58"/>
      <c r="KS13" s="58"/>
      <c r="KT13" s="58"/>
      <c r="KU13" s="58"/>
      <c r="KV13" s="58"/>
      <c r="KW13" s="58"/>
      <c r="KX13" s="58"/>
      <c r="KY13" s="58"/>
      <c r="KZ13" s="58"/>
      <c r="LA13" s="58"/>
      <c r="LB13" s="58"/>
      <c r="LC13" s="58"/>
      <c r="LD13" s="58"/>
      <c r="LE13" s="58"/>
      <c r="LF13" s="58"/>
      <c r="LG13" s="58"/>
      <c r="LH13" s="58"/>
      <c r="LI13" s="58"/>
      <c r="LJ13" s="58"/>
      <c r="LK13" s="58"/>
      <c r="LL13" s="58"/>
      <c r="LM13" s="58"/>
      <c r="LN13" s="58"/>
      <c r="LO13" s="58"/>
      <c r="LP13" s="58"/>
      <c r="LQ13" s="58"/>
      <c r="LR13" s="58"/>
      <c r="LS13" s="58"/>
      <c r="LT13" s="58"/>
      <c r="LU13" s="58"/>
      <c r="LV13" s="58"/>
      <c r="LW13" s="58"/>
      <c r="LX13" s="58"/>
      <c r="LY13" s="58"/>
      <c r="LZ13" s="58"/>
      <c r="MA13" s="58"/>
      <c r="MB13" s="58"/>
      <c r="MC13" s="58"/>
      <c r="MD13" s="58"/>
      <c r="ME13" s="58"/>
      <c r="MF13" s="58"/>
      <c r="MG13" s="58"/>
      <c r="MH13" s="58"/>
      <c r="MI13" s="58"/>
      <c r="MJ13" s="58"/>
      <c r="MK13" s="58"/>
      <c r="ML13" s="58"/>
      <c r="MM13" s="58"/>
      <c r="MN13" s="58"/>
      <c r="MO13" s="58"/>
      <c r="MP13" s="58"/>
      <c r="MQ13" s="58"/>
      <c r="MR13" s="58"/>
      <c r="MS13" s="58"/>
      <c r="MT13" s="58"/>
      <c r="MU13" s="58"/>
      <c r="MV13" s="58"/>
      <c r="MW13" s="58"/>
      <c r="MX13" s="58"/>
      <c r="MY13" s="58"/>
      <c r="MZ13" s="58"/>
      <c r="NA13" s="58"/>
      <c r="NB13" s="58"/>
      <c r="NC13" s="58"/>
      <c r="ND13" s="58"/>
      <c r="NE13" s="58"/>
      <c r="NF13" s="58"/>
      <c r="NG13" s="58"/>
      <c r="NH13" s="58"/>
      <c r="NI13" s="58"/>
      <c r="NJ13" s="58"/>
      <c r="NK13" s="58"/>
      <c r="NL13" s="58"/>
      <c r="NM13" s="58"/>
      <c r="NN13" s="58"/>
      <c r="NO13" s="58"/>
      <c r="NP13" s="58"/>
      <c r="NQ13" s="58"/>
      <c r="NR13" s="58"/>
      <c r="NS13" s="58"/>
      <c r="NT13" s="58"/>
      <c r="NU13" s="58"/>
      <c r="NV13" s="58"/>
      <c r="NW13" s="58"/>
      <c r="NX13" s="58"/>
      <c r="NY13" s="58"/>
      <c r="NZ13" s="58"/>
      <c r="OA13" s="58"/>
      <c r="OB13" s="58"/>
      <c r="OC13" s="58"/>
      <c r="OD13" s="58"/>
      <c r="OE13" s="58"/>
      <c r="OF13" s="58"/>
      <c r="OG13" s="58"/>
      <c r="OH13" s="58"/>
      <c r="OI13" s="58"/>
      <c r="OJ13" s="58"/>
      <c r="OK13" s="58"/>
      <c r="OL13" s="58"/>
      <c r="OM13" s="58"/>
      <c r="ON13" s="58"/>
      <c r="OO13" s="58"/>
      <c r="OP13" s="58"/>
      <c r="OQ13" s="58"/>
      <c r="OR13" s="58"/>
      <c r="OS13" s="58"/>
      <c r="OT13" s="58"/>
      <c r="OU13" s="58"/>
      <c r="OV13" s="58"/>
      <c r="OW13" s="58"/>
      <c r="OX13" s="58"/>
      <c r="OY13" s="58"/>
      <c r="OZ13" s="58"/>
      <c r="PA13" s="58"/>
      <c r="PB13" s="58"/>
      <c r="PC13" s="58"/>
      <c r="PD13" s="58"/>
      <c r="PE13" s="58"/>
      <c r="PF13" s="58"/>
      <c r="PG13" s="58"/>
      <c r="PH13" s="58"/>
      <c r="PI13" s="58"/>
      <c r="PJ13" s="58"/>
      <c r="PK13" s="58"/>
      <c r="PL13" s="58"/>
      <c r="PM13" s="58"/>
      <c r="PN13" s="58"/>
      <c r="PO13" s="58"/>
      <c r="PP13" s="58"/>
      <c r="PQ13" s="58"/>
      <c r="PR13" s="58"/>
      <c r="PS13" s="58"/>
      <c r="PT13" s="58"/>
      <c r="PU13" s="58"/>
      <c r="PV13" s="58"/>
      <c r="PW13" s="58"/>
      <c r="PX13" s="58"/>
      <c r="PY13" s="58"/>
      <c r="PZ13" s="58"/>
      <c r="QA13" s="58"/>
      <c r="QB13" s="58"/>
      <c r="QC13" s="58"/>
      <c r="QD13" s="58"/>
      <c r="QE13" s="58"/>
      <c r="QF13" s="58"/>
      <c r="QG13" s="58"/>
      <c r="QH13" s="58"/>
      <c r="QI13" s="58"/>
      <c r="QJ13" s="58"/>
      <c r="QK13" s="58"/>
      <c r="QL13" s="58"/>
      <c r="QM13" s="58"/>
      <c r="QN13" s="58"/>
      <c r="QO13" s="58"/>
      <c r="QP13" s="58"/>
      <c r="QQ13" s="58"/>
      <c r="QR13" s="58"/>
      <c r="QS13" s="58"/>
      <c r="QT13" s="58"/>
      <c r="QU13" s="58"/>
      <c r="QV13" s="58"/>
      <c r="QW13" s="58"/>
      <c r="QX13" s="58"/>
      <c r="QY13" s="58"/>
      <c r="QZ13" s="58"/>
      <c r="RA13" s="58"/>
      <c r="RB13" s="58"/>
      <c r="RC13" s="58"/>
      <c r="RD13" s="58"/>
      <c r="RE13" s="58"/>
      <c r="RF13" s="58"/>
      <c r="RG13" s="58"/>
      <c r="RH13" s="58"/>
      <c r="RI13" s="58"/>
      <c r="RJ13" s="58"/>
      <c r="RK13" s="58"/>
      <c r="RL13" s="58"/>
      <c r="RM13" s="58"/>
      <c r="RN13" s="58"/>
      <c r="RO13" s="58"/>
      <c r="RP13" s="58"/>
      <c r="RQ13" s="58"/>
      <c r="RR13" s="58"/>
      <c r="RS13" s="58"/>
      <c r="RT13" s="58"/>
      <c r="RU13" s="58"/>
      <c r="RV13" s="58"/>
      <c r="RW13" s="58"/>
      <c r="RX13" s="58"/>
      <c r="RY13" s="58"/>
      <c r="RZ13" s="58"/>
      <c r="SA13" s="58"/>
      <c r="SB13" s="58"/>
      <c r="SC13" s="58"/>
      <c r="SD13" s="58"/>
      <c r="SE13" s="58"/>
      <c r="SF13" s="58"/>
      <c r="SG13" s="58"/>
      <c r="SH13" s="58"/>
      <c r="SI13" s="58"/>
      <c r="SJ13" s="58"/>
      <c r="SK13" s="58"/>
      <c r="SL13" s="58"/>
      <c r="SM13" s="58"/>
      <c r="SN13" s="58"/>
      <c r="SO13" s="58"/>
      <c r="SP13" s="58"/>
      <c r="SQ13" s="58"/>
      <c r="SR13" s="58"/>
      <c r="SS13" s="58"/>
      <c r="ST13" s="58"/>
      <c r="SU13" s="58"/>
      <c r="SV13" s="58"/>
      <c r="SW13" s="58"/>
      <c r="SX13" s="58"/>
      <c r="SY13" s="58"/>
      <c r="SZ13" s="58"/>
      <c r="TA13" s="58"/>
      <c r="TB13" s="58"/>
      <c r="TC13" s="58"/>
      <c r="TD13" s="58"/>
      <c r="TE13" s="58"/>
      <c r="TF13" s="58"/>
      <c r="TG13" s="58"/>
      <c r="TH13" s="58"/>
      <c r="TI13" s="58"/>
      <c r="TJ13" s="58"/>
      <c r="TK13" s="58"/>
      <c r="TL13" s="58"/>
      <c r="TM13" s="58"/>
      <c r="TN13" s="58"/>
      <c r="TO13" s="58"/>
      <c r="TP13" s="58"/>
      <c r="TQ13" s="58"/>
      <c r="TR13" s="58"/>
      <c r="TS13" s="58"/>
      <c r="TT13" s="58"/>
      <c r="TU13" s="58"/>
      <c r="TV13" s="58"/>
      <c r="TW13" s="58"/>
      <c r="TX13" s="58"/>
      <c r="TY13" s="58"/>
      <c r="TZ13" s="58"/>
      <c r="UA13" s="58"/>
      <c r="UB13" s="58"/>
      <c r="UC13" s="58"/>
      <c r="UD13" s="58"/>
      <c r="UE13" s="58"/>
      <c r="UF13" s="58"/>
      <c r="UG13" s="58"/>
      <c r="UH13" s="58"/>
      <c r="UI13" s="58"/>
      <c r="UJ13" s="58"/>
      <c r="UK13" s="58"/>
      <c r="UL13" s="58"/>
      <c r="UM13" s="58"/>
      <c r="UN13" s="58"/>
      <c r="UO13" s="58"/>
      <c r="UP13" s="58"/>
      <c r="UQ13" s="58"/>
      <c r="UR13" s="58"/>
      <c r="US13" s="58"/>
      <c r="UT13" s="58"/>
      <c r="UU13" s="58"/>
      <c r="UV13" s="58"/>
      <c r="UW13" s="58"/>
      <c r="UX13" s="58"/>
      <c r="UY13" s="58"/>
      <c r="UZ13" s="58"/>
      <c r="VA13" s="58"/>
      <c r="VB13" s="58"/>
      <c r="VC13" s="58"/>
      <c r="VD13" s="58"/>
      <c r="VE13" s="58"/>
      <c r="VF13" s="58"/>
      <c r="VG13" s="58"/>
      <c r="VH13" s="58"/>
      <c r="VI13" s="58"/>
      <c r="VJ13" s="58"/>
      <c r="VK13" s="58"/>
      <c r="VL13" s="58"/>
      <c r="VM13" s="58"/>
      <c r="VN13" s="58"/>
      <c r="VO13" s="58"/>
      <c r="VP13" s="58"/>
      <c r="VQ13" s="58"/>
      <c r="VR13" s="58"/>
      <c r="VS13" s="58"/>
      <c r="VT13" s="58"/>
      <c r="VU13" s="58"/>
      <c r="VV13" s="58"/>
      <c r="VW13" s="58"/>
      <c r="VX13" s="58"/>
      <c r="VY13" s="58"/>
      <c r="VZ13" s="58"/>
      <c r="WA13" s="58"/>
      <c r="WB13" s="58"/>
      <c r="WC13" s="58"/>
      <c r="WD13" s="58"/>
      <c r="WE13" s="58"/>
      <c r="WF13" s="58"/>
      <c r="WG13" s="58"/>
      <c r="WH13" s="58"/>
      <c r="WI13" s="58"/>
      <c r="WJ13" s="58"/>
      <c r="WK13" s="58"/>
      <c r="WL13" s="58"/>
      <c r="WM13" s="58"/>
      <c r="WN13" s="58"/>
      <c r="WO13" s="58"/>
      <c r="WP13" s="58"/>
      <c r="WQ13" s="58"/>
      <c r="WR13" s="58"/>
      <c r="WS13" s="58"/>
      <c r="WT13" s="58"/>
      <c r="WU13" s="58"/>
      <c r="WV13" s="58"/>
      <c r="WW13" s="58"/>
      <c r="WX13" s="58"/>
      <c r="WY13" s="58"/>
      <c r="WZ13" s="58"/>
      <c r="XA13" s="58"/>
      <c r="XB13" s="58"/>
      <c r="XC13" s="58"/>
      <c r="XD13" s="58"/>
      <c r="XE13" s="58"/>
      <c r="XF13" s="58"/>
      <c r="XG13" s="58"/>
      <c r="XH13" s="58"/>
      <c r="XI13" s="58"/>
      <c r="XJ13" s="58"/>
      <c r="XK13" s="58"/>
      <c r="XL13" s="58"/>
      <c r="XM13" s="58"/>
      <c r="XN13" s="58"/>
      <c r="XO13" s="58"/>
      <c r="XP13" s="58"/>
      <c r="XQ13" s="58"/>
      <c r="XR13" s="58"/>
      <c r="XS13" s="58"/>
      <c r="XT13" s="58"/>
      <c r="XU13" s="58"/>
      <c r="XV13" s="58"/>
      <c r="XW13" s="58"/>
      <c r="XX13" s="58"/>
      <c r="XY13" s="58"/>
      <c r="XZ13" s="58"/>
      <c r="YA13" s="58"/>
      <c r="YB13" s="58"/>
      <c r="YC13" s="58"/>
      <c r="YD13" s="58"/>
      <c r="YE13" s="58"/>
      <c r="YF13" s="58"/>
      <c r="YG13" s="58"/>
      <c r="YH13" s="58"/>
      <c r="YI13" s="58"/>
      <c r="YJ13" s="58"/>
      <c r="YK13" s="58"/>
      <c r="YL13" s="58"/>
      <c r="YM13" s="58"/>
      <c r="YN13" s="58"/>
      <c r="YO13" s="58"/>
      <c r="YP13" s="58"/>
      <c r="YQ13" s="58"/>
      <c r="YR13" s="58"/>
      <c r="YS13" s="58"/>
      <c r="YT13" s="58"/>
      <c r="YU13" s="58"/>
      <c r="YV13" s="58"/>
      <c r="YW13" s="58"/>
      <c r="YX13" s="58"/>
      <c r="YY13" s="58"/>
      <c r="YZ13" s="58"/>
      <c r="ZA13" s="58"/>
      <c r="ZB13" s="58"/>
      <c r="ZC13" s="58"/>
      <c r="ZD13" s="58"/>
      <c r="ZE13" s="58"/>
      <c r="ZF13" s="58"/>
      <c r="ZG13" s="58"/>
      <c r="ZH13" s="58"/>
      <c r="ZI13" s="58"/>
      <c r="ZJ13" s="58"/>
      <c r="ZK13" s="58"/>
      <c r="ZL13" s="58"/>
      <c r="ZM13" s="58"/>
      <c r="ZN13" s="58"/>
      <c r="ZO13" s="58"/>
      <c r="ZP13" s="58"/>
      <c r="ZQ13" s="58"/>
      <c r="ZR13" s="58"/>
      <c r="ZS13" s="58"/>
      <c r="ZT13" s="58"/>
      <c r="ZU13" s="58"/>
      <c r="ZV13" s="58"/>
      <c r="ZW13" s="58"/>
      <c r="ZX13" s="58"/>
      <c r="ZY13" s="58"/>
      <c r="ZZ13" s="58"/>
      <c r="AAA13" s="58"/>
      <c r="AAB13" s="58"/>
      <c r="AAC13" s="58"/>
      <c r="AAD13" s="58"/>
      <c r="AAE13" s="58"/>
      <c r="AAF13" s="58"/>
      <c r="AAG13" s="58"/>
      <c r="AAH13" s="58"/>
      <c r="AAI13" s="58"/>
      <c r="AAJ13" s="58"/>
      <c r="AAK13" s="58"/>
      <c r="AAL13" s="58"/>
      <c r="AAM13" s="58"/>
      <c r="AAN13" s="58"/>
      <c r="AAO13" s="58"/>
      <c r="AAP13" s="58"/>
      <c r="AAQ13" s="58"/>
      <c r="AAR13" s="58"/>
      <c r="AAS13" s="58"/>
      <c r="AAT13" s="58"/>
      <c r="AAU13" s="58"/>
      <c r="AAV13" s="58"/>
      <c r="AAW13" s="58"/>
      <c r="AAX13" s="58"/>
      <c r="AAY13" s="58"/>
      <c r="AAZ13" s="58"/>
      <c r="ABA13" s="58"/>
      <c r="ABB13" s="58"/>
      <c r="ABC13" s="58"/>
      <c r="ABD13" s="58"/>
      <c r="ABE13" s="58"/>
      <c r="ABF13" s="58"/>
      <c r="ABG13" s="58"/>
      <c r="ABH13" s="58"/>
      <c r="ABI13" s="58"/>
      <c r="ABJ13" s="58"/>
      <c r="ABK13" s="58"/>
      <c r="ABL13" s="58"/>
      <c r="ABM13" s="58"/>
      <c r="ABN13" s="58"/>
      <c r="ABO13" s="58"/>
      <c r="ABP13" s="58"/>
      <c r="ABQ13" s="58"/>
      <c r="ABR13" s="58"/>
      <c r="ABS13" s="58"/>
      <c r="ABT13" s="58"/>
      <c r="ABU13" s="58"/>
      <c r="ABV13" s="58"/>
      <c r="ABW13" s="58"/>
      <c r="ABX13" s="58"/>
      <c r="ABY13" s="58"/>
      <c r="ABZ13" s="58"/>
      <c r="ACA13" s="58"/>
      <c r="ACB13" s="58"/>
      <c r="ACC13" s="58"/>
      <c r="ACD13" s="58"/>
      <c r="ACE13" s="58"/>
      <c r="ACF13" s="58"/>
      <c r="ACG13" s="58"/>
      <c r="ACH13" s="58"/>
      <c r="ACI13" s="58"/>
      <c r="ACJ13" s="58"/>
      <c r="ACK13" s="58"/>
      <c r="ACL13" s="58"/>
      <c r="ACM13" s="58"/>
      <c r="ACN13" s="58"/>
      <c r="ACO13" s="58"/>
      <c r="ACP13" s="58"/>
      <c r="ACQ13" s="58"/>
      <c r="ACR13" s="58"/>
      <c r="ACS13" s="58"/>
      <c r="ACT13" s="58"/>
      <c r="ACU13" s="58"/>
      <c r="ACV13" s="58"/>
      <c r="ACW13" s="58"/>
      <c r="ACX13" s="58"/>
      <c r="ACY13" s="58"/>
      <c r="ACZ13" s="58"/>
      <c r="ADA13" s="58"/>
      <c r="ADB13" s="58"/>
      <c r="ADC13" s="58"/>
      <c r="ADD13" s="58"/>
      <c r="ADE13" s="58"/>
      <c r="ADF13" s="58"/>
      <c r="ADG13" s="58"/>
      <c r="ADH13" s="58"/>
      <c r="ADI13" s="58"/>
      <c r="ADJ13" s="58"/>
      <c r="ADK13" s="58"/>
      <c r="ADL13" s="58"/>
      <c r="ADM13" s="58"/>
      <c r="ADN13" s="58"/>
      <c r="ADO13" s="58"/>
      <c r="ADP13" s="58"/>
      <c r="ADQ13" s="58"/>
      <c r="ADR13" s="58"/>
      <c r="ADS13" s="58"/>
      <c r="ADT13" s="58"/>
      <c r="ADU13" s="58"/>
      <c r="ADV13" s="58"/>
      <c r="ADW13" s="58"/>
      <c r="ADX13" s="58"/>
      <c r="ADY13" s="58"/>
      <c r="ADZ13" s="58"/>
      <c r="AEA13" s="58"/>
      <c r="AEB13" s="58"/>
      <c r="AEC13" s="58"/>
      <c r="AED13" s="58"/>
      <c r="AEE13" s="58"/>
      <c r="AEF13" s="58"/>
      <c r="AEG13" s="58"/>
      <c r="AEH13" s="58"/>
      <c r="AEI13" s="58"/>
      <c r="AEJ13" s="58"/>
      <c r="AEK13" s="58"/>
      <c r="AEL13" s="58"/>
      <c r="AEM13" s="58"/>
      <c r="AEN13" s="58"/>
      <c r="AEO13" s="58"/>
      <c r="AEP13" s="58"/>
      <c r="AEQ13" s="58"/>
      <c r="AER13" s="58"/>
      <c r="AES13" s="58"/>
      <c r="AET13" s="58"/>
      <c r="AEU13" s="58"/>
      <c r="AEV13" s="58"/>
      <c r="AEW13" s="58"/>
      <c r="AEX13" s="58"/>
      <c r="AEY13" s="58"/>
      <c r="AEZ13" s="58"/>
      <c r="AFA13" s="58"/>
      <c r="AFB13" s="58"/>
      <c r="AFC13" s="58"/>
      <c r="AFD13" s="58"/>
      <c r="AFE13" s="58"/>
      <c r="AFF13" s="58"/>
      <c r="AFG13" s="58"/>
      <c r="AFH13" s="58"/>
      <c r="AFI13" s="58"/>
      <c r="AFJ13" s="58"/>
      <c r="AFK13" s="58"/>
      <c r="AFL13" s="58"/>
      <c r="AFM13" s="58"/>
      <c r="AFN13" s="58"/>
      <c r="AFO13" s="58"/>
      <c r="AFP13" s="58"/>
      <c r="AFQ13" s="58"/>
      <c r="AFR13" s="58"/>
      <c r="AFS13" s="58"/>
      <c r="AFT13" s="58"/>
      <c r="AFU13" s="58"/>
      <c r="AFV13" s="58"/>
      <c r="AFW13" s="58"/>
      <c r="AFX13" s="58"/>
      <c r="AFY13" s="58"/>
      <c r="AFZ13" s="58"/>
      <c r="AGA13" s="58"/>
      <c r="AGB13" s="58"/>
      <c r="AGC13" s="58"/>
      <c r="AGD13" s="58"/>
      <c r="AGE13" s="58"/>
      <c r="AGF13" s="58"/>
      <c r="AGG13" s="58"/>
      <c r="AGH13" s="58"/>
      <c r="AGI13" s="58"/>
      <c r="AGJ13" s="58"/>
      <c r="AGK13" s="58"/>
      <c r="AGL13" s="58"/>
      <c r="AGM13" s="58"/>
      <c r="AGN13" s="58"/>
      <c r="AGO13" s="58"/>
      <c r="AGP13" s="58"/>
      <c r="AGQ13" s="58"/>
      <c r="AGR13" s="58"/>
      <c r="AGS13" s="58"/>
      <c r="AGT13" s="58"/>
      <c r="AGU13" s="58"/>
      <c r="AGV13" s="58"/>
      <c r="AGW13" s="58"/>
      <c r="AGX13" s="58"/>
      <c r="AGY13" s="58"/>
      <c r="AGZ13" s="58"/>
      <c r="AHA13" s="58"/>
      <c r="AHB13" s="58"/>
      <c r="AHC13" s="58"/>
      <c r="AHD13" s="58"/>
      <c r="AHE13" s="58"/>
      <c r="AHF13" s="58"/>
      <c r="AHG13" s="58"/>
      <c r="AHH13" s="58"/>
      <c r="AHI13" s="58"/>
      <c r="AHJ13" s="58"/>
      <c r="AHK13" s="58"/>
      <c r="AHL13" s="58"/>
      <c r="AHM13" s="58"/>
      <c r="AHN13" s="58"/>
      <c r="AHO13" s="58"/>
      <c r="AHP13" s="58"/>
      <c r="AHQ13" s="58"/>
      <c r="AHR13" s="58"/>
      <c r="AHS13" s="58"/>
      <c r="AHT13" s="58"/>
      <c r="AHU13" s="58"/>
      <c r="AHV13" s="58"/>
      <c r="AHW13" s="58"/>
      <c r="AHX13" s="58"/>
      <c r="AHY13" s="58"/>
      <c r="AHZ13" s="58"/>
      <c r="AIA13" s="58"/>
      <c r="AIB13" s="58"/>
      <c r="AIC13" s="58"/>
      <c r="AID13" s="58"/>
      <c r="AIE13" s="58"/>
      <c r="AIF13" s="58"/>
      <c r="AIG13" s="58"/>
      <c r="AIH13" s="58"/>
      <c r="AII13" s="58"/>
      <c r="AIJ13" s="58"/>
      <c r="AIK13" s="58"/>
      <c r="AIL13" s="58"/>
      <c r="AIM13" s="58"/>
      <c r="AIN13" s="58"/>
      <c r="AIO13" s="58"/>
      <c r="AIP13" s="58"/>
      <c r="AIQ13" s="58"/>
      <c r="AIR13" s="58"/>
      <c r="AIS13" s="58"/>
      <c r="AIT13" s="58"/>
      <c r="AIU13" s="58"/>
      <c r="AIV13" s="58"/>
      <c r="AIW13" s="58"/>
      <c r="AIX13" s="58"/>
      <c r="AIY13" s="58"/>
      <c r="AIZ13" s="58"/>
      <c r="AJA13" s="58"/>
      <c r="AJB13" s="58"/>
      <c r="AJC13" s="58"/>
      <c r="AJD13" s="58"/>
      <c r="AJE13" s="58"/>
      <c r="AJF13" s="58"/>
      <c r="AJG13" s="58"/>
      <c r="AJH13" s="58"/>
      <c r="AJI13" s="58"/>
      <c r="AJJ13" s="58"/>
      <c r="AJK13" s="58"/>
      <c r="AJL13" s="58"/>
      <c r="AJM13" s="58"/>
      <c r="AJN13" s="58"/>
      <c r="AJO13" s="58"/>
      <c r="AJP13" s="58"/>
      <c r="AJQ13" s="58"/>
      <c r="AJR13" s="58"/>
      <c r="AJS13" s="58"/>
      <c r="AJT13" s="58"/>
      <c r="AJU13" s="58"/>
      <c r="AJV13" s="58"/>
      <c r="AJW13" s="58"/>
      <c r="AJX13" s="58"/>
      <c r="AJY13" s="58"/>
      <c r="AJZ13" s="58"/>
      <c r="AKA13" s="58"/>
      <c r="AKB13" s="58"/>
      <c r="AKC13" s="58"/>
      <c r="AKD13" s="58"/>
      <c r="AKE13" s="58"/>
      <c r="AKF13" s="58"/>
      <c r="AKG13" s="58"/>
      <c r="AKH13" s="58"/>
      <c r="AKI13" s="58"/>
      <c r="AKJ13" s="58"/>
      <c r="AKK13" s="58"/>
      <c r="AKL13" s="58"/>
      <c r="AKM13" s="58"/>
      <c r="AKN13" s="58"/>
      <c r="AKO13" s="58"/>
      <c r="AKP13" s="58"/>
      <c r="AKQ13" s="58"/>
      <c r="AKR13" s="58"/>
      <c r="AKS13" s="58"/>
      <c r="AKT13" s="58"/>
      <c r="AKU13" s="58"/>
      <c r="AKV13" s="58"/>
      <c r="AKW13" s="58"/>
      <c r="AKX13" s="58"/>
      <c r="AKY13" s="58"/>
      <c r="AKZ13" s="58"/>
      <c r="ALA13" s="58"/>
      <c r="ALB13" s="58"/>
      <c r="ALC13" s="58"/>
      <c r="ALD13" s="58"/>
      <c r="ALE13" s="58"/>
      <c r="ALF13" s="58"/>
      <c r="ALG13" s="58"/>
      <c r="ALH13" s="58"/>
      <c r="ALI13" s="58"/>
      <c r="ALJ13" s="58"/>
      <c r="ALK13" s="58"/>
      <c r="ALL13" s="58"/>
      <c r="ALM13" s="58"/>
      <c r="ALN13" s="58"/>
      <c r="ALO13" s="58"/>
      <c r="ALP13" s="58"/>
      <c r="ALQ13" s="58"/>
      <c r="ALR13" s="58"/>
      <c r="ALS13" s="58"/>
      <c r="ALT13" s="58"/>
      <c r="ALU13" s="58"/>
      <c r="ALV13" s="58"/>
      <c r="ALW13" s="58"/>
      <c r="ALX13" s="58"/>
      <c r="ALY13" s="58"/>
      <c r="ALZ13" s="58"/>
      <c r="AMA13" s="58"/>
      <c r="AMB13" s="58"/>
      <c r="AMC13" s="58"/>
      <c r="AMD13" s="58"/>
      <c r="AME13" s="58"/>
      <c r="AMF13" s="58"/>
      <c r="AMG13" s="58"/>
      <c r="AMH13" s="58"/>
      <c r="AMI13" s="58"/>
      <c r="AMJ13" s="58"/>
      <c r="AMK13" s="58"/>
      <c r="AML13" s="58"/>
      <c r="AMM13" s="58"/>
      <c r="AMN13" s="58"/>
      <c r="AMO13" s="58"/>
      <c r="AMP13" s="58"/>
      <c r="AMQ13" s="58"/>
      <c r="AMR13" s="58"/>
      <c r="AMS13" s="58"/>
      <c r="AMT13" s="58"/>
      <c r="AMU13" s="58"/>
      <c r="AMV13" s="58"/>
      <c r="AMW13" s="58"/>
      <c r="AMX13" s="58"/>
      <c r="AMY13" s="58"/>
      <c r="AMZ13" s="58"/>
      <c r="ANA13" s="58"/>
      <c r="ANB13" s="58"/>
      <c r="ANC13" s="58"/>
      <c r="AND13" s="58"/>
      <c r="ANE13" s="58"/>
      <c r="ANF13" s="58"/>
      <c r="ANG13" s="58"/>
      <c r="ANH13" s="58"/>
      <c r="ANI13" s="58"/>
      <c r="ANJ13" s="58"/>
      <c r="ANK13" s="58"/>
      <c r="ANL13" s="58"/>
      <c r="ANM13" s="58"/>
      <c r="ANN13" s="58"/>
      <c r="ANO13" s="58"/>
      <c r="ANP13" s="58"/>
      <c r="ANQ13" s="58"/>
      <c r="ANR13" s="58"/>
      <c r="ANS13" s="58"/>
      <c r="ANT13" s="58"/>
      <c r="ANU13" s="58"/>
      <c r="ANV13" s="58"/>
      <c r="ANW13" s="58"/>
      <c r="ANX13" s="58"/>
      <c r="ANY13" s="58"/>
      <c r="ANZ13" s="58"/>
      <c r="AOA13" s="58"/>
      <c r="AOB13" s="58"/>
      <c r="AOC13" s="58"/>
      <c r="AOD13" s="58"/>
      <c r="AOE13" s="58"/>
      <c r="AOF13" s="58"/>
      <c r="AOG13" s="58"/>
      <c r="AOH13" s="58"/>
      <c r="AOI13" s="58"/>
      <c r="AOJ13" s="58"/>
      <c r="AOK13" s="58"/>
      <c r="AOL13" s="58"/>
      <c r="AOM13" s="58"/>
      <c r="AON13" s="58"/>
      <c r="AOO13" s="58"/>
      <c r="AOP13" s="58"/>
      <c r="AOQ13" s="58"/>
      <c r="AOR13" s="58"/>
      <c r="AOS13" s="58"/>
      <c r="AOT13" s="58"/>
      <c r="AOU13" s="58"/>
      <c r="AOV13" s="58"/>
      <c r="AOW13" s="58"/>
      <c r="AOX13" s="58"/>
      <c r="AOY13" s="58"/>
      <c r="AOZ13" s="58"/>
      <c r="APA13" s="58"/>
      <c r="APB13" s="58"/>
      <c r="APC13" s="58"/>
      <c r="APD13" s="58"/>
      <c r="APE13" s="58"/>
      <c r="APF13" s="58"/>
      <c r="APG13" s="58"/>
      <c r="APH13" s="58"/>
      <c r="API13" s="58"/>
      <c r="APJ13" s="58"/>
      <c r="APK13" s="58"/>
      <c r="APL13" s="58"/>
      <c r="APM13" s="58"/>
      <c r="APN13" s="58"/>
      <c r="APO13" s="58"/>
      <c r="APP13" s="58"/>
      <c r="APQ13" s="58"/>
      <c r="APR13" s="58"/>
      <c r="APS13" s="58"/>
      <c r="APT13" s="58"/>
      <c r="APU13" s="58"/>
      <c r="APV13" s="58"/>
      <c r="APW13" s="58"/>
      <c r="APX13" s="58"/>
      <c r="APY13" s="58"/>
      <c r="APZ13" s="58"/>
      <c r="AQA13" s="58"/>
      <c r="AQB13" s="58"/>
      <c r="AQC13" s="58"/>
      <c r="AQD13" s="58"/>
      <c r="AQE13" s="58"/>
      <c r="AQF13" s="58"/>
      <c r="AQG13" s="58"/>
      <c r="AQH13" s="58"/>
      <c r="AQI13" s="58"/>
      <c r="AQJ13" s="58"/>
      <c r="AQK13" s="58"/>
      <c r="AQL13" s="58"/>
      <c r="AQM13" s="58"/>
      <c r="AQN13" s="58"/>
      <c r="AQO13" s="58"/>
      <c r="AQP13" s="58"/>
      <c r="AQQ13" s="58"/>
      <c r="AQR13" s="58"/>
      <c r="AQS13" s="58"/>
      <c r="AQT13" s="58"/>
      <c r="AQU13" s="58"/>
      <c r="AQV13" s="58"/>
      <c r="AQW13" s="58"/>
      <c r="AQX13" s="58"/>
      <c r="AQY13" s="58"/>
      <c r="AQZ13" s="58"/>
      <c r="ARA13" s="58"/>
      <c r="ARB13" s="58"/>
      <c r="ARC13" s="58"/>
      <c r="ARD13" s="58"/>
      <c r="ARE13" s="58"/>
      <c r="ARF13" s="58"/>
      <c r="ARG13" s="58"/>
      <c r="ARH13" s="58"/>
      <c r="ARI13" s="58"/>
      <c r="ARJ13" s="58"/>
      <c r="ARK13" s="58"/>
      <c r="ARL13" s="58"/>
      <c r="ARM13" s="58"/>
      <c r="ARN13" s="58"/>
      <c r="ARO13" s="58"/>
      <c r="ARP13" s="58"/>
      <c r="ARQ13" s="58"/>
      <c r="ARR13" s="58"/>
      <c r="ARS13" s="58"/>
      <c r="ART13" s="58"/>
      <c r="ARU13" s="58"/>
      <c r="ARV13" s="58"/>
      <c r="ARW13" s="58"/>
      <c r="ARX13" s="58"/>
      <c r="ARY13" s="58"/>
      <c r="ARZ13" s="58"/>
      <c r="ASA13" s="58"/>
      <c r="ASB13" s="58"/>
      <c r="ASC13" s="58"/>
      <c r="ASD13" s="58"/>
      <c r="ASE13" s="58"/>
      <c r="ASF13" s="58"/>
      <c r="ASG13" s="58"/>
      <c r="ASH13" s="58"/>
      <c r="ASI13" s="58"/>
      <c r="ASJ13" s="58"/>
      <c r="ASK13" s="58"/>
      <c r="ASL13" s="58"/>
      <c r="ASM13" s="58"/>
      <c r="ASN13" s="58"/>
      <c r="ASO13" s="58"/>
      <c r="ASP13" s="58"/>
      <c r="ASQ13" s="58"/>
      <c r="ASR13" s="58"/>
      <c r="ASS13" s="58"/>
      <c r="AST13" s="58"/>
      <c r="ASU13" s="58"/>
      <c r="ASV13" s="58"/>
      <c r="ASW13" s="58"/>
      <c r="ASX13" s="58"/>
      <c r="ASY13" s="58"/>
      <c r="ASZ13" s="58"/>
      <c r="ATA13" s="58"/>
      <c r="ATB13" s="58"/>
      <c r="ATC13" s="58"/>
      <c r="ATD13" s="58"/>
      <c r="ATE13" s="58"/>
      <c r="ATF13" s="58"/>
      <c r="ATG13" s="58"/>
      <c r="ATH13" s="58"/>
      <c r="ATI13" s="58"/>
      <c r="ATJ13" s="58"/>
      <c r="ATK13" s="58"/>
      <c r="ATL13" s="58"/>
      <c r="ATM13" s="58"/>
      <c r="ATN13" s="58"/>
      <c r="ATO13" s="58"/>
      <c r="ATP13" s="58"/>
      <c r="ATQ13" s="58"/>
      <c r="ATR13" s="58"/>
      <c r="ATS13" s="58"/>
      <c r="ATT13" s="58"/>
      <c r="ATU13" s="58"/>
      <c r="ATV13" s="58"/>
      <c r="ATW13" s="58"/>
      <c r="ATX13" s="58"/>
      <c r="ATY13" s="58"/>
      <c r="ATZ13" s="58"/>
      <c r="AUA13" s="58"/>
      <c r="AUB13" s="58"/>
      <c r="AUC13" s="58"/>
      <c r="AUD13" s="58"/>
      <c r="AUE13" s="58"/>
      <c r="AUF13" s="58"/>
      <c r="AUG13" s="58"/>
      <c r="AUH13" s="58"/>
      <c r="AUI13" s="58"/>
      <c r="AUJ13" s="58"/>
      <c r="AUK13" s="58"/>
      <c r="AUL13" s="58"/>
      <c r="AUM13" s="58"/>
      <c r="AUN13" s="58"/>
      <c r="AUO13" s="58"/>
      <c r="AUP13" s="58"/>
      <c r="AUQ13" s="58"/>
      <c r="AUR13" s="58"/>
      <c r="AUS13" s="58"/>
      <c r="AUT13" s="58"/>
      <c r="AUU13" s="58"/>
      <c r="AUV13" s="58"/>
      <c r="AUW13" s="58"/>
      <c r="AUX13" s="58"/>
      <c r="AUY13" s="58"/>
      <c r="AUZ13" s="58"/>
      <c r="AVA13" s="58"/>
      <c r="AVB13" s="58"/>
      <c r="AVC13" s="58"/>
      <c r="AVD13" s="58"/>
      <c r="AVE13" s="58"/>
      <c r="AVF13" s="58"/>
      <c r="AVG13" s="58"/>
      <c r="AVH13" s="58"/>
      <c r="AVI13" s="58"/>
      <c r="AVJ13" s="58"/>
      <c r="AVK13" s="58"/>
      <c r="AVL13" s="58"/>
      <c r="AVM13" s="58"/>
      <c r="AVN13" s="58"/>
      <c r="AVO13" s="58"/>
      <c r="AVP13" s="58"/>
      <c r="AVQ13" s="58"/>
      <c r="AVR13" s="58"/>
      <c r="AVS13" s="58"/>
      <c r="AVT13" s="58"/>
      <c r="AVU13" s="58"/>
      <c r="AVV13" s="58"/>
      <c r="AVW13" s="58"/>
      <c r="AVX13" s="58"/>
      <c r="AVY13" s="58"/>
      <c r="AVZ13" s="58"/>
      <c r="AWA13" s="58"/>
      <c r="AWB13" s="58"/>
      <c r="AWC13" s="58"/>
      <c r="AWD13" s="58"/>
      <c r="AWE13" s="58"/>
      <c r="AWF13" s="58"/>
      <c r="AWG13" s="58"/>
      <c r="AWH13" s="58"/>
      <c r="AWI13" s="58"/>
      <c r="AWJ13" s="58"/>
      <c r="AWK13" s="58"/>
      <c r="AWL13" s="58"/>
      <c r="AWM13" s="58"/>
      <c r="AWN13" s="58"/>
      <c r="AWO13" s="58"/>
      <c r="AWP13" s="58"/>
      <c r="AWQ13" s="58"/>
      <c r="AWR13" s="58"/>
      <c r="AWS13" s="58"/>
      <c r="AWT13" s="58"/>
    </row>
    <row r="14" spans="1:1294" s="81" customFormat="1" ht="19.05" customHeight="1">
      <c r="A14" s="66"/>
      <c r="B14" s="517"/>
      <c r="C14" s="85" t="s">
        <v>83</v>
      </c>
      <c r="D14" s="525"/>
      <c r="E14" s="93">
        <f>COUNTIFS(Table13514520105[[#All],[Sales]],"คุณธวัช มีแสง",Table13514520105[[#All],[ค่าขายอุปกรณ์]],"&gt;1")</f>
        <v>0</v>
      </c>
      <c r="F14" s="88">
        <f>SUMIF(Table13514520105[[#All],[Sales]],"คุณธวัช มีแสง",Table13514520105[[#All],[Total
คอมฯ อุปกรณ์]])</f>
        <v>0</v>
      </c>
      <c r="G14" s="88">
        <f t="shared" si="0"/>
        <v>0</v>
      </c>
      <c r="H14" s="88">
        <f t="shared" ref="H14:H15" si="10">SUM(F14-G14)</f>
        <v>0</v>
      </c>
      <c r="I14" s="64"/>
      <c r="J14" s="90"/>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row>
    <row r="15" spans="1:1294" s="81" customFormat="1" ht="19.05" customHeight="1">
      <c r="A15" s="66"/>
      <c r="B15" s="517"/>
      <c r="C15" s="85" t="s">
        <v>84</v>
      </c>
      <c r="D15" s="525"/>
      <c r="E15" s="93">
        <f>COUNTIFS(Table13514520105[[#All],[Sales]],"คุณแดง มูลสองแคว",Table13514520105[[#All],[ค่าขายอุปกรณ์]],"&gt;1")</f>
        <v>0</v>
      </c>
      <c r="F15" s="88">
        <f>SUMIF(Table13514520105[[#All],[Sales]],"คุณแดง มูลสองแคว",Table13514520105[[#All],[Total
คอมฯ อุปกรณ์]])</f>
        <v>0</v>
      </c>
      <c r="G15" s="88">
        <f t="shared" si="0"/>
        <v>0</v>
      </c>
      <c r="H15" s="88">
        <f t="shared" si="10"/>
        <v>0</v>
      </c>
      <c r="I15" s="64"/>
      <c r="J15" s="90"/>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row>
    <row r="16" spans="1:1294" s="81" customFormat="1" ht="19.05" customHeight="1">
      <c r="A16" s="66"/>
      <c r="B16" s="517"/>
      <c r="C16" s="178" t="s">
        <v>85</v>
      </c>
      <c r="D16" s="525"/>
      <c r="E16" s="93">
        <f>COUNTIFS(Table13514520105[[#All],[Sales]],"คุณนิยนต์ อยู่ทะเล",Table13514520105[[#All],[ค่าขายอุปกรณ์]],"&gt;1")</f>
        <v>0</v>
      </c>
      <c r="F16" s="88">
        <f>SUMIF(Table13514520105[[#All],[Sales]],"คุณนิยนต์ อยู่ทะเล",Table13514520105[[#All],[Total
คอมฯ อุปกรณ์]])</f>
        <v>0</v>
      </c>
      <c r="G16" s="88">
        <f t="shared" ref="G16" si="11">F16*$G$3</f>
        <v>0</v>
      </c>
      <c r="H16" s="88">
        <f t="shared" ref="H16" si="12">SUM(F16-G16)</f>
        <v>0</v>
      </c>
      <c r="I16" s="64"/>
      <c r="J16" s="90"/>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row>
    <row r="17" spans="1:245" s="81" customFormat="1" ht="19.05" customHeight="1">
      <c r="A17" s="66"/>
      <c r="B17" s="517"/>
      <c r="C17" s="186" t="s">
        <v>78</v>
      </c>
      <c r="D17" s="525"/>
      <c r="E17" s="93">
        <f>COUNTIFS(Table13514520105[[#All],[Sales]],"คุณรุ่งอรุณ อินบุญรอด",Table13514520105[[#All],[ค่าขายอุปกรณ์]],"&gt;1")</f>
        <v>0</v>
      </c>
      <c r="F17" s="88">
        <f>SUMIF(Table13514520105[[#All],[Sales]],"คุณรุ่งอรุณ อินบุญรอด",Table13514520105[[#All],[Total
คอมฯ อุปกรณ์]])</f>
        <v>0</v>
      </c>
      <c r="G17" s="88">
        <f t="shared" ref="G17" si="13">F17*$G$3</f>
        <v>0</v>
      </c>
      <c r="H17" s="88">
        <f t="shared" ref="H17" si="14">SUM(F17-G17)</f>
        <v>0</v>
      </c>
      <c r="I17" s="64"/>
      <c r="J17" s="90"/>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row>
    <row r="18" spans="1:245" s="81" customFormat="1" ht="19.05" customHeight="1">
      <c r="A18" s="66"/>
      <c r="B18" s="517"/>
      <c r="C18" s="361" t="s">
        <v>79</v>
      </c>
      <c r="D18" s="525"/>
      <c r="E18" s="93">
        <f>COUNTIFS(Table13514520105[[#All],[Sales]],"คุณศศินาถ จุ้ยอยู่ทอง",Table13514520105[[#All],[ค่าขายอุปกรณ์]],"&gt;1")</f>
        <v>0</v>
      </c>
      <c r="F18" s="88">
        <f>SUMIF(Table13514520105[[#All],[Sales]],"คุณศศินาถ จุ้ยอยู่ทอง",Table13514520105[[#All],[Total
คอมฯ อุปกรณ์]])</f>
        <v>0</v>
      </c>
      <c r="G18" s="88">
        <f>F18*$G$3</f>
        <v>0</v>
      </c>
      <c r="H18" s="88">
        <f t="shared" ref="H18:H19" si="15">SUM(F18-G18)</f>
        <v>0</v>
      </c>
      <c r="I18" s="64"/>
      <c r="J18" s="90"/>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row>
    <row r="19" spans="1:245" s="81" customFormat="1" ht="19.05" customHeight="1">
      <c r="A19" s="66"/>
      <c r="B19" s="517"/>
      <c r="C19" s="361" t="s">
        <v>103</v>
      </c>
      <c r="D19" s="525"/>
      <c r="E19" s="93">
        <f>COUNTIFS(Table13514520105[[#All],[Sales]],"คุณณรงศ์ศักย์ เหล่ารัตนเวช",Table13514520105[[#All],[ค่าขายอุปกรณ์]],"&gt;1")</f>
        <v>0</v>
      </c>
      <c r="F19" s="88">
        <f>SUMIF(Table13514520105[[#All],[Sales]],"คุณนิมิต จุ้ยอยู่ทอง",Table13514520105[[#All],[Total
คอมฯ อุปกรณ์]])</f>
        <v>0</v>
      </c>
      <c r="G19" s="88">
        <f t="shared" ref="G19" si="16">F19*$G$3</f>
        <v>0</v>
      </c>
      <c r="H19" s="88">
        <f t="shared" si="15"/>
        <v>0</v>
      </c>
      <c r="I19" s="64"/>
      <c r="J19" s="90"/>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row>
    <row r="20" spans="1:245" s="81" customFormat="1" ht="19.05" customHeight="1">
      <c r="A20" s="83"/>
      <c r="B20" s="517"/>
      <c r="C20" s="86" t="s">
        <v>81</v>
      </c>
      <c r="D20" s="526"/>
      <c r="E20" s="93">
        <f>COUNTIFS(Table13514520105[[#All],[Sales]],"คุณธัญลักษณ์ หมื่นหลุบกุง",Table13514520105[[#All],[ค่าขายอุปกรณ์]],"&gt;1")</f>
        <v>0</v>
      </c>
      <c r="F20" s="88">
        <f>SUMIF(Table13514520105[[#All],[Sales]],"คุณนิมิต จุ้ยอยู่ทอง",Table13514520105[[#All],[Total
คอมฯ อุปกรณ์]])</f>
        <v>0</v>
      </c>
      <c r="G20" s="88">
        <f t="shared" ref="G20:G21" si="17">F20*$G$3</f>
        <v>0</v>
      </c>
      <c r="H20" s="88">
        <f t="shared" ref="H20" si="18">SUM(F20-G20)</f>
        <v>0</v>
      </c>
      <c r="I20" s="64"/>
      <c r="J20" s="64"/>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row>
    <row r="21" spans="1:245" s="58" customFormat="1" ht="19.05" customHeight="1">
      <c r="A21" s="82">
        <v>3</v>
      </c>
      <c r="B21" s="518" t="s">
        <v>20</v>
      </c>
      <c r="C21" s="85" t="s">
        <v>82</v>
      </c>
      <c r="D21" s="507" t="s">
        <v>27</v>
      </c>
      <c r="E21" s="93">
        <f>COUNTIFS(Table13514520105[[#All],[Sales]],"คุณนิมิต จุ้ยอยู่ทอง",Table13514520105[[#All],[Total 
คอมฯค่าติดตั้ง/ค่าเชื่อมสัญญาณ]],"&gt;1")</f>
        <v>0</v>
      </c>
      <c r="F21" s="88">
        <f>SUMIF(Table13514520105[[#All],[Sales]],"คุณนิมิต จุ้ยอยู่ทอง",Table13514520105[[#All],[Total 
คอมฯค่าติดตั้ง/ค่าเชื่อมสัญญาณ]])</f>
        <v>0</v>
      </c>
      <c r="G21" s="88">
        <f t="shared" si="17"/>
        <v>0</v>
      </c>
      <c r="H21" s="88">
        <f>SUM(F21-G21)</f>
        <v>0</v>
      </c>
      <c r="I21" s="64"/>
      <c r="J21" s="67"/>
    </row>
    <row r="22" spans="1:245" s="58" customFormat="1" ht="19.05" customHeight="1">
      <c r="A22" s="66"/>
      <c r="B22" s="518"/>
      <c r="C22" s="87" t="s">
        <v>83</v>
      </c>
      <c r="D22" s="508"/>
      <c r="E22" s="93">
        <f>COUNTIFS(Table13514520105[[#All],[Sales]],"คุณธวัช มีแสง",Table13514520105[[#All],[Total 
คอมฯค่าติดตั้ง/ค่าเชื่อมสัญญาณ]],"&gt;1")</f>
        <v>0</v>
      </c>
      <c r="F22" s="88">
        <f>SUMIF(Table13514520105[[#All],[Sales]],"คุณธวัช มีแสง",Table13514520105[[#All],[Total 
คอมฯค่าติดตั้ง/ค่าเชื่อมสัญญาณ]])</f>
        <v>0</v>
      </c>
      <c r="G22" s="88">
        <f t="shared" ref="G22:G28" si="19">F22*$G$3</f>
        <v>0</v>
      </c>
      <c r="H22" s="88">
        <f t="shared" ref="H22:H28" si="20">SUM(F22-G22)</f>
        <v>0</v>
      </c>
      <c r="I22" s="64"/>
      <c r="J22" s="67"/>
    </row>
    <row r="23" spans="1:245" s="58" customFormat="1" ht="19.05" customHeight="1">
      <c r="A23" s="66"/>
      <c r="B23" s="518"/>
      <c r="C23" s="87" t="s">
        <v>84</v>
      </c>
      <c r="D23" s="508"/>
      <c r="E23" s="93">
        <f>COUNTIFS(Table13514520105[[#All],[Sales]],"คุณแดง มูลสองแคว",Table13514520105[[#All],[Total 
คอมฯค่าติดตั้ง/ค่าเชื่อมสัญญาณ]],"&gt;1")</f>
        <v>0</v>
      </c>
      <c r="F23" s="88">
        <f>SUMIF(Table13514520105[[#All],[Sales]],"คุณแดง มูลสองแคว",Table13514520105[[#All],[Total 
คอมฯค่าติดตั้ง/ค่าเชื่อมสัญญาณ]])</f>
        <v>0</v>
      </c>
      <c r="G23" s="88">
        <f t="shared" si="19"/>
        <v>0</v>
      </c>
      <c r="H23" s="88">
        <f t="shared" si="20"/>
        <v>0</v>
      </c>
      <c r="I23" s="64"/>
      <c r="J23" s="67"/>
    </row>
    <row r="24" spans="1:245" s="58" customFormat="1" ht="19.05" customHeight="1">
      <c r="A24" s="66"/>
      <c r="B24" s="519"/>
      <c r="C24" s="178" t="s">
        <v>85</v>
      </c>
      <c r="D24" s="508"/>
      <c r="E24" s="93">
        <f>COUNTIFS(Table13514520105[[#All],[Sales]],"คุณนิยนต์ อยู่ทะเล",Table13514520105[[#All],[Total 
คอมฯค่าติดตั้ง/ค่าเชื่อมสัญญาณ]],"&gt;1")</f>
        <v>0</v>
      </c>
      <c r="F24" s="88">
        <f>SUMIF(Table13514520105[[#All],[Sales]],"คุณนิยนต์ อยู่ทะเล",Table13514520105[[#All],[Total 
คอมฯค่าติดตั้ง/ค่าเชื่อมสัญญาณ]])</f>
        <v>0</v>
      </c>
      <c r="G24" s="88">
        <f t="shared" si="19"/>
        <v>0</v>
      </c>
      <c r="H24" s="88">
        <f t="shared" si="20"/>
        <v>0</v>
      </c>
      <c r="I24" s="64"/>
      <c r="J24" s="67"/>
    </row>
    <row r="25" spans="1:245" s="58" customFormat="1" ht="19.05" customHeight="1">
      <c r="A25" s="66"/>
      <c r="B25" s="520"/>
      <c r="C25" s="186" t="s">
        <v>78</v>
      </c>
      <c r="D25" s="508"/>
      <c r="E25" s="93">
        <f>COUNTIFS(Table13514520105[[#All],[Sales]],"คุณรุ่งอรุณ อินบุญรอด",Table13514520105[[#All],[Total 
คอมฯค่าติดตั้ง/ค่าเชื่อมสัญญาณ]],"&gt;1")</f>
        <v>0</v>
      </c>
      <c r="F25" s="88">
        <f>SUMIF(Table13514520105[[#All],[Sales]],"คุณรุ่งอรุณ อินบุญรอด",Table13514520105[[#All],[Total 
คอมฯค่าติดตั้ง/ค่าเชื่อมสัญญาณ]])</f>
        <v>0</v>
      </c>
      <c r="G25" s="88">
        <f t="shared" si="19"/>
        <v>0</v>
      </c>
      <c r="H25" s="88">
        <f t="shared" si="20"/>
        <v>0</v>
      </c>
      <c r="I25" s="64"/>
      <c r="J25" s="67"/>
    </row>
    <row r="26" spans="1:245" s="58" customFormat="1" ht="19.05" customHeight="1">
      <c r="A26" s="66"/>
      <c r="B26" s="521"/>
      <c r="C26" s="361" t="s">
        <v>79</v>
      </c>
      <c r="D26" s="508"/>
      <c r="E26" s="93">
        <f>COUNTIFS(Table13514520105[[#All],[Sales]],"คุณศศินาถ จุ้ยอยู่ทอง",Table13514520105[[#All],[Total 
คอมฯค่าติดตั้ง/ค่าเชื่อมสัญญาณ]],"&gt;1")</f>
        <v>0</v>
      </c>
      <c r="F26" s="88">
        <f>SUMIF(Table13514520105[[#All],[Sales]],"คุณศศินาถ จุ้ยอยู่ทอง",Table13514520105[[#All],[Total 
คอมฯค่าติดตั้ง/ค่าเชื่อมสัญญาณ]])</f>
        <v>0</v>
      </c>
      <c r="G26" s="88">
        <f t="shared" si="19"/>
        <v>0</v>
      </c>
      <c r="H26" s="88">
        <f t="shared" si="20"/>
        <v>0</v>
      </c>
      <c r="I26" s="64"/>
      <c r="J26" s="67"/>
    </row>
    <row r="27" spans="1:245" s="58" customFormat="1" ht="19.05" customHeight="1">
      <c r="A27" s="66"/>
      <c r="B27" s="521"/>
      <c r="C27" s="361" t="s">
        <v>103</v>
      </c>
      <c r="D27" s="508"/>
      <c r="E27" s="93">
        <f>COUNTIFS(Table13514520105[[#All],[Sales]],"คุณณรงศ์ศักย์ เหล่ารัตนเวช",Table13514520105[[#All],[Total 
คอมฯค่าติดตั้ง/ค่าเชื่อมสัญญาณ]],"&gt;1")</f>
        <v>0</v>
      </c>
      <c r="F27" s="88">
        <f>SUMIF(Table13514520105[[#All],[Sales]],"คุณณรงศ์ศักย์ เหล่ารัตนเวช",Table13514520105[[#All],[Total 
คอมฯค่าติดตั้ง/ค่าเชื่อมสัญญาณ]])</f>
        <v>0</v>
      </c>
      <c r="G27" s="88">
        <f t="shared" si="19"/>
        <v>0</v>
      </c>
      <c r="H27" s="88">
        <f t="shared" si="20"/>
        <v>0</v>
      </c>
      <c r="I27" s="64"/>
      <c r="J27" s="67"/>
    </row>
    <row r="28" spans="1:245" s="58" customFormat="1" ht="19.05" customHeight="1">
      <c r="A28" s="66"/>
      <c r="B28" s="518"/>
      <c r="C28" s="159" t="s">
        <v>81</v>
      </c>
      <c r="D28" s="509"/>
      <c r="E28" s="93">
        <f>COUNTIFS(Table13514520105[[#All],[Sales]],"คุณธัญลักษณ์ หมื่นหลุบกุง",Table13514520105[[#All],[Total 
คอมฯค่าติดตั้ง/ค่าเชื่อมสัญญาณ]],"&gt;1")</f>
        <v>0</v>
      </c>
      <c r="F28" s="88">
        <f>SUMIF(Table13514520105[[#All],[Sales]],"คุณธัญลักษณ์ หมื่นหลุบกุง",Table13514520105[[#All],[Total 
คอมฯค่าติดตั้ง/ค่าเชื่อมสัญญาณ]])</f>
        <v>0</v>
      </c>
      <c r="G28" s="88">
        <f t="shared" si="19"/>
        <v>0</v>
      </c>
      <c r="H28" s="88">
        <f t="shared" si="20"/>
        <v>0</v>
      </c>
      <c r="I28" s="67"/>
      <c r="J28" s="67"/>
    </row>
    <row r="29" spans="1:245" s="58" customFormat="1" ht="21" customHeight="1">
      <c r="A29" s="68"/>
      <c r="B29" s="69" t="s">
        <v>12</v>
      </c>
      <c r="C29" s="69"/>
      <c r="D29" s="69"/>
      <c r="E29" s="70">
        <f t="shared" ref="E29:H29" si="21">SUM(E5:E28)</f>
        <v>1</v>
      </c>
      <c r="F29" s="70">
        <f t="shared" si="21"/>
        <v>4542.0600000000004</v>
      </c>
      <c r="G29" s="70">
        <f t="shared" si="21"/>
        <v>0</v>
      </c>
      <c r="H29" s="84">
        <f t="shared" si="21"/>
        <v>4542.0600000000004</v>
      </c>
      <c r="I29" s="67"/>
      <c r="J29" s="67"/>
    </row>
    <row r="30" spans="1:245" s="58" customFormat="1" ht="13.95" customHeight="1">
      <c r="B30" s="98"/>
      <c r="C30" s="98"/>
      <c r="D30" s="98"/>
      <c r="E30" s="99"/>
      <c r="F30" s="99"/>
      <c r="G30" s="99"/>
      <c r="H30" s="111"/>
      <c r="I30" s="99"/>
    </row>
    <row r="31" spans="1:245" s="58" customFormat="1" ht="7.95" customHeight="1">
      <c r="B31" s="98"/>
      <c r="C31" s="98"/>
      <c r="D31" s="98"/>
      <c r="E31" s="99"/>
      <c r="F31" s="99"/>
      <c r="G31" s="99"/>
      <c r="H31" s="99"/>
      <c r="I31" s="99"/>
    </row>
    <row r="32" spans="1:245" ht="19.95" customHeight="1">
      <c r="B32" s="510" t="s">
        <v>106</v>
      </c>
      <c r="C32" s="510"/>
      <c r="D32" s="510"/>
      <c r="E32" s="510"/>
      <c r="F32" s="510"/>
      <c r="G32" s="510"/>
      <c r="H32" s="510"/>
      <c r="I32" s="510"/>
      <c r="J32" s="510"/>
      <c r="K32" s="510"/>
      <c r="L32" s="510"/>
      <c r="M32" s="510"/>
    </row>
    <row r="33" spans="2:13" s="58" customFormat="1" ht="14.55" customHeight="1">
      <c r="B33" s="510"/>
      <c r="C33" s="510"/>
      <c r="D33" s="510"/>
      <c r="E33" s="510"/>
      <c r="F33" s="510"/>
      <c r="G33" s="510"/>
      <c r="H33" s="510"/>
      <c r="I33" s="510"/>
      <c r="J33" s="510"/>
      <c r="K33" s="510"/>
      <c r="L33" s="510"/>
      <c r="M33" s="510"/>
    </row>
    <row r="34" spans="2:13" s="371" customFormat="1" ht="70.2" customHeight="1">
      <c r="B34" s="388" t="s">
        <v>42</v>
      </c>
      <c r="C34" s="388" t="s">
        <v>13</v>
      </c>
      <c r="D34" s="388" t="s">
        <v>35</v>
      </c>
      <c r="E34" s="389" t="s">
        <v>33</v>
      </c>
      <c r="F34" s="389" t="s">
        <v>15</v>
      </c>
      <c r="G34" s="389" t="s">
        <v>34</v>
      </c>
      <c r="H34" s="390" t="s">
        <v>32</v>
      </c>
      <c r="I34" s="388" t="s">
        <v>30</v>
      </c>
      <c r="J34" s="390" t="s">
        <v>66</v>
      </c>
      <c r="K34" s="388" t="s">
        <v>67</v>
      </c>
      <c r="L34" s="391" t="s">
        <v>89</v>
      </c>
      <c r="M34" s="384" t="s">
        <v>90</v>
      </c>
    </row>
    <row r="35" spans="2:13" ht="19.95" customHeight="1">
      <c r="B35" s="366" t="s">
        <v>23</v>
      </c>
      <c r="C35" s="363" t="s">
        <v>91</v>
      </c>
      <c r="D35" s="367" t="s">
        <v>82</v>
      </c>
      <c r="E35" s="404">
        <f t="shared" ref="E35:E42" si="22">SUM(G58)</f>
        <v>3406.5450000000001</v>
      </c>
      <c r="F35" s="405">
        <v>0</v>
      </c>
      <c r="G35" s="406">
        <f>SUM(E35-F35)</f>
        <v>3406.5450000000001</v>
      </c>
      <c r="H35" s="368">
        <v>0</v>
      </c>
      <c r="I35" s="407">
        <f>SUM(G35-H35)</f>
        <v>3406.5450000000001</v>
      </c>
      <c r="J35" s="408">
        <f>I35*3%</f>
        <v>102.19635</v>
      </c>
      <c r="K35" s="409">
        <f>I35-J35</f>
        <v>3304.3486499999999</v>
      </c>
      <c r="L35" s="365" t="s">
        <v>101</v>
      </c>
      <c r="M35" s="296" t="s">
        <v>94</v>
      </c>
    </row>
    <row r="36" spans="2:13" ht="19.95" customHeight="1">
      <c r="B36" s="366"/>
      <c r="C36" s="363" t="s">
        <v>91</v>
      </c>
      <c r="D36" s="367" t="s">
        <v>83</v>
      </c>
      <c r="E36" s="404">
        <f t="shared" si="22"/>
        <v>0</v>
      </c>
      <c r="F36" s="405"/>
      <c r="G36" s="406">
        <f t="shared" ref="G36:G45" si="23">SUM(E36-F36)</f>
        <v>0</v>
      </c>
      <c r="H36" s="368">
        <v>0</v>
      </c>
      <c r="I36" s="407">
        <f t="shared" ref="I36:I45" si="24">SUM(G36-H36)</f>
        <v>0</v>
      </c>
      <c r="J36" s="408">
        <f t="shared" ref="J36:J45" si="25">I36*3%</f>
        <v>0</v>
      </c>
      <c r="K36" s="409">
        <f t="shared" ref="K36:K45" si="26">I36-J36</f>
        <v>0</v>
      </c>
      <c r="L36" s="365" t="s">
        <v>101</v>
      </c>
      <c r="M36" s="296" t="s">
        <v>95</v>
      </c>
    </row>
    <row r="37" spans="2:13" ht="19.95" customHeight="1">
      <c r="B37" s="366"/>
      <c r="C37" s="363" t="s">
        <v>91</v>
      </c>
      <c r="D37" s="367" t="s">
        <v>84</v>
      </c>
      <c r="E37" s="410">
        <f t="shared" si="22"/>
        <v>0</v>
      </c>
      <c r="F37" s="406">
        <v>0</v>
      </c>
      <c r="G37" s="406">
        <f t="shared" ref="G37" si="27">SUM(E37-F37)</f>
        <v>0</v>
      </c>
      <c r="H37" s="364">
        <v>0</v>
      </c>
      <c r="I37" s="407">
        <f t="shared" ref="I37" si="28">SUM(G37-H37)</f>
        <v>0</v>
      </c>
      <c r="J37" s="408">
        <f t="shared" ref="J37" si="29">I37*3%</f>
        <v>0</v>
      </c>
      <c r="K37" s="409">
        <f t="shared" ref="K37" si="30">I37-J37</f>
        <v>0</v>
      </c>
      <c r="L37" s="365" t="s">
        <v>101</v>
      </c>
      <c r="M37" s="296" t="s">
        <v>96</v>
      </c>
    </row>
    <row r="38" spans="2:13" ht="19.95" customHeight="1">
      <c r="B38" s="366"/>
      <c r="C38" s="363" t="s">
        <v>17</v>
      </c>
      <c r="D38" s="367" t="s">
        <v>85</v>
      </c>
      <c r="E38" s="410">
        <f t="shared" si="22"/>
        <v>0</v>
      </c>
      <c r="F38" s="406">
        <v>0</v>
      </c>
      <c r="G38" s="406">
        <f t="shared" ref="G38" si="31">SUM(E38-F38)</f>
        <v>0</v>
      </c>
      <c r="H38" s="364">
        <v>0</v>
      </c>
      <c r="I38" s="407">
        <f t="shared" ref="I38" si="32">SUM(G38-H38)</f>
        <v>0</v>
      </c>
      <c r="J38" s="408">
        <f t="shared" ref="J38" si="33">I38*3%</f>
        <v>0</v>
      </c>
      <c r="K38" s="409">
        <f t="shared" ref="K38" si="34">I38-J38</f>
        <v>0</v>
      </c>
      <c r="L38" s="365" t="s">
        <v>101</v>
      </c>
      <c r="M38" s="296" t="s">
        <v>97</v>
      </c>
    </row>
    <row r="39" spans="2:13" ht="19.95" customHeight="1">
      <c r="B39" s="366"/>
      <c r="C39" s="363" t="s">
        <v>91</v>
      </c>
      <c r="D39" s="367" t="s">
        <v>78</v>
      </c>
      <c r="E39" s="410">
        <f t="shared" si="22"/>
        <v>0</v>
      </c>
      <c r="F39" s="406">
        <v>0</v>
      </c>
      <c r="G39" s="406">
        <f t="shared" ref="G39" si="35">SUM(E39-F39)</f>
        <v>0</v>
      </c>
      <c r="H39" s="364">
        <v>0</v>
      </c>
      <c r="I39" s="407">
        <f t="shared" ref="I39" si="36">SUM(G39-H39)</f>
        <v>0</v>
      </c>
      <c r="J39" s="408">
        <f t="shared" ref="J39" si="37">I39*3%</f>
        <v>0</v>
      </c>
      <c r="K39" s="409">
        <f t="shared" ref="K39" si="38">I39-J39</f>
        <v>0</v>
      </c>
      <c r="L39" s="365" t="s">
        <v>101</v>
      </c>
      <c r="M39" s="296" t="s">
        <v>98</v>
      </c>
    </row>
    <row r="40" spans="2:13" ht="19.95" customHeight="1">
      <c r="B40" s="366"/>
      <c r="C40" s="363" t="s">
        <v>91</v>
      </c>
      <c r="D40" s="367" t="s">
        <v>79</v>
      </c>
      <c r="E40" s="410">
        <f t="shared" si="22"/>
        <v>0</v>
      </c>
      <c r="F40" s="406">
        <v>0</v>
      </c>
      <c r="G40" s="406">
        <f t="shared" ref="G40" si="39">SUM(E40-F40)</f>
        <v>0</v>
      </c>
      <c r="H40" s="364">
        <v>0</v>
      </c>
      <c r="I40" s="407">
        <f t="shared" ref="I40" si="40">SUM(G40-H40)</f>
        <v>0</v>
      </c>
      <c r="J40" s="408">
        <f t="shared" ref="J40" si="41">I40*3%</f>
        <v>0</v>
      </c>
      <c r="K40" s="409">
        <f t="shared" ref="K40" si="42">I40-J40</f>
        <v>0</v>
      </c>
      <c r="L40" s="365" t="s">
        <v>101</v>
      </c>
      <c r="M40" s="296" t="s">
        <v>99</v>
      </c>
    </row>
    <row r="41" spans="2:13" ht="19.95" customHeight="1">
      <c r="B41" s="366"/>
      <c r="C41" s="363" t="s">
        <v>91</v>
      </c>
      <c r="D41" s="367" t="s">
        <v>103</v>
      </c>
      <c r="E41" s="410">
        <f t="shared" si="22"/>
        <v>0</v>
      </c>
      <c r="F41" s="406">
        <v>0</v>
      </c>
      <c r="G41" s="406">
        <f t="shared" ref="G41" si="43">SUM(E41-F41)</f>
        <v>0</v>
      </c>
      <c r="H41" s="364">
        <v>0</v>
      </c>
      <c r="I41" s="407">
        <f t="shared" ref="I41" si="44">SUM(G41-H41)</f>
        <v>0</v>
      </c>
      <c r="J41" s="408">
        <f t="shared" ref="J41" si="45">I41*3%</f>
        <v>0</v>
      </c>
      <c r="K41" s="409">
        <f t="shared" ref="K41" si="46">I41-J41</f>
        <v>0</v>
      </c>
      <c r="L41" s="365" t="s">
        <v>101</v>
      </c>
      <c r="M41" s="296" t="s">
        <v>104</v>
      </c>
    </row>
    <row r="42" spans="2:13" ht="19.95" customHeight="1">
      <c r="B42" s="366"/>
      <c r="C42" s="363" t="s">
        <v>91</v>
      </c>
      <c r="D42" s="367" t="s">
        <v>81</v>
      </c>
      <c r="E42" s="410">
        <f t="shared" si="22"/>
        <v>0</v>
      </c>
      <c r="F42" s="406">
        <v>0</v>
      </c>
      <c r="G42" s="406">
        <f t="shared" si="23"/>
        <v>0</v>
      </c>
      <c r="H42" s="364">
        <v>0</v>
      </c>
      <c r="I42" s="407">
        <f t="shared" si="24"/>
        <v>0</v>
      </c>
      <c r="J42" s="408">
        <f t="shared" si="25"/>
        <v>0</v>
      </c>
      <c r="K42" s="409">
        <f t="shared" si="26"/>
        <v>0</v>
      </c>
      <c r="L42" s="365" t="s">
        <v>101</v>
      </c>
      <c r="M42" s="297" t="s">
        <v>100</v>
      </c>
    </row>
    <row r="43" spans="2:13" ht="19.95" customHeight="1">
      <c r="B43" s="366" t="s">
        <v>71</v>
      </c>
      <c r="C43" s="363" t="s">
        <v>91</v>
      </c>
      <c r="D43" s="367" t="s">
        <v>83</v>
      </c>
      <c r="E43" s="410">
        <f>SUM(G66)</f>
        <v>227.10300000000004</v>
      </c>
      <c r="F43" s="406">
        <v>0</v>
      </c>
      <c r="G43" s="406">
        <f t="shared" si="23"/>
        <v>227.10300000000004</v>
      </c>
      <c r="H43" s="364">
        <v>0</v>
      </c>
      <c r="I43" s="407">
        <f t="shared" si="24"/>
        <v>227.10300000000004</v>
      </c>
      <c r="J43" s="408">
        <f t="shared" si="25"/>
        <v>6.8130900000000008</v>
      </c>
      <c r="K43" s="409">
        <f t="shared" si="26"/>
        <v>220.28991000000005</v>
      </c>
      <c r="L43" s="365" t="s">
        <v>101</v>
      </c>
      <c r="M43" s="295" t="s">
        <v>95</v>
      </c>
    </row>
    <row r="44" spans="2:13" ht="19.95" customHeight="1">
      <c r="B44" s="366" t="s">
        <v>24</v>
      </c>
      <c r="C44" s="363" t="s">
        <v>72</v>
      </c>
      <c r="D44" s="367" t="s">
        <v>111</v>
      </c>
      <c r="E44" s="410">
        <f>SUM(G67)</f>
        <v>545.04719999999998</v>
      </c>
      <c r="F44" s="406">
        <v>0</v>
      </c>
      <c r="G44" s="406">
        <f t="shared" si="23"/>
        <v>545.04719999999998</v>
      </c>
      <c r="H44" s="364">
        <v>0</v>
      </c>
      <c r="I44" s="407">
        <f t="shared" si="24"/>
        <v>545.04719999999998</v>
      </c>
      <c r="J44" s="408">
        <f t="shared" si="25"/>
        <v>16.351416</v>
      </c>
      <c r="K44" s="409">
        <f t="shared" si="26"/>
        <v>528.695784</v>
      </c>
      <c r="L44" s="365" t="s">
        <v>101</v>
      </c>
      <c r="M44" s="295" t="s">
        <v>112</v>
      </c>
    </row>
    <row r="45" spans="2:13" ht="19.95" customHeight="1">
      <c r="B45" s="366" t="s">
        <v>25</v>
      </c>
      <c r="C45" s="363" t="s">
        <v>72</v>
      </c>
      <c r="D45" s="367" t="s">
        <v>92</v>
      </c>
      <c r="E45" s="410">
        <f>SUM(G68)</f>
        <v>363.36480000000006</v>
      </c>
      <c r="F45" s="406">
        <v>0</v>
      </c>
      <c r="G45" s="406">
        <f t="shared" si="23"/>
        <v>363.36480000000006</v>
      </c>
      <c r="H45" s="364">
        <v>0</v>
      </c>
      <c r="I45" s="407">
        <f t="shared" si="24"/>
        <v>363.36480000000006</v>
      </c>
      <c r="J45" s="408">
        <f t="shared" si="25"/>
        <v>10.900944000000001</v>
      </c>
      <c r="K45" s="409">
        <f t="shared" si="26"/>
        <v>352.46385600000008</v>
      </c>
      <c r="L45" s="365" t="s">
        <v>101</v>
      </c>
      <c r="M45" s="295" t="s">
        <v>102</v>
      </c>
    </row>
    <row r="46" spans="2:13" ht="23.4" customHeight="1">
      <c r="B46" s="369"/>
      <c r="C46" s="370"/>
      <c r="D46" s="411"/>
      <c r="E46" s="412"/>
      <c r="F46" s="405"/>
      <c r="G46" s="413">
        <f>SUM(G35:G45)</f>
        <v>4542.0600000000004</v>
      </c>
      <c r="H46" s="413">
        <f>SUM(H35:H45)</f>
        <v>0</v>
      </c>
      <c r="I46" s="414">
        <f>SUM(I35:I45)</f>
        <v>4542.0600000000004</v>
      </c>
      <c r="J46" s="413">
        <f>SUM(J35:J45)</f>
        <v>136.26179999999999</v>
      </c>
      <c r="K46" s="414">
        <f>SUM(K35:K45)</f>
        <v>4405.7982000000002</v>
      </c>
      <c r="L46" s="415"/>
      <c r="M46" s="415"/>
    </row>
    <row r="47" spans="2:13" ht="15.6">
      <c r="B47" s="74"/>
      <c r="C47" s="74"/>
      <c r="D47" s="75"/>
      <c r="E47" s="349"/>
      <c r="F47" s="350"/>
      <c r="G47" s="350"/>
      <c r="H47" s="351"/>
      <c r="I47" s="71"/>
      <c r="J47" s="71"/>
    </row>
    <row r="48" spans="2:13" ht="15.6">
      <c r="B48" s="74"/>
      <c r="C48" s="74"/>
      <c r="D48" s="75"/>
      <c r="E48" s="349"/>
      <c r="F48" s="350"/>
      <c r="G48" s="350"/>
      <c r="H48" s="350"/>
      <c r="I48" s="350"/>
      <c r="J48" s="71"/>
    </row>
    <row r="49" spans="1:13" s="304" customFormat="1" ht="14.55" customHeight="1">
      <c r="E49" s="352"/>
      <c r="F49" s="352"/>
      <c r="G49" s="352"/>
      <c r="H49" s="352"/>
      <c r="I49" s="71"/>
      <c r="J49" s="71"/>
      <c r="K49" s="71"/>
      <c r="L49" s="71"/>
      <c r="M49" s="71"/>
    </row>
    <row r="50" spans="1:13" ht="13.8">
      <c r="E50" s="353"/>
      <c r="F50" s="353"/>
      <c r="G50" s="353"/>
      <c r="H50" s="353"/>
      <c r="I50" s="71"/>
      <c r="J50" s="71"/>
    </row>
    <row r="51" spans="1:13" ht="13.8">
      <c r="E51" s="353"/>
      <c r="F51" s="353"/>
      <c r="G51" s="353"/>
      <c r="H51" s="353"/>
      <c r="I51" s="71"/>
      <c r="J51" s="71"/>
    </row>
    <row r="52" spans="1:13" ht="13.8">
      <c r="E52" s="353"/>
      <c r="F52" s="353"/>
      <c r="G52" s="353"/>
      <c r="H52" s="353"/>
      <c r="I52" s="71"/>
      <c r="J52" s="71"/>
    </row>
    <row r="53" spans="1:13" ht="13.8">
      <c r="E53" s="353"/>
      <c r="F53" s="353"/>
      <c r="G53" s="353"/>
      <c r="H53" s="353"/>
      <c r="I53" s="71"/>
      <c r="J53" s="71"/>
    </row>
    <row r="54" spans="1:13" ht="13.8">
      <c r="A54" s="77"/>
      <c r="B54" s="78"/>
      <c r="C54" s="78"/>
      <c r="E54" s="79"/>
      <c r="F54" s="71"/>
      <c r="G54" s="71"/>
      <c r="H54" s="115"/>
      <c r="I54" s="115"/>
      <c r="J54" s="71"/>
    </row>
    <row r="55" spans="1:13" s="58" customFormat="1" ht="13.8">
      <c r="E55" s="57"/>
      <c r="F55" s="57"/>
      <c r="G55" s="57"/>
      <c r="H55" s="115"/>
      <c r="I55" s="115"/>
      <c r="J55" s="71"/>
      <c r="K55" s="71"/>
    </row>
    <row r="56" spans="1:13" ht="19.95" hidden="1" customHeight="1">
      <c r="B56" s="385" t="s">
        <v>93</v>
      </c>
      <c r="C56" s="386"/>
      <c r="D56" s="386"/>
      <c r="E56" s="386"/>
      <c r="F56" s="386"/>
      <c r="G56" s="387"/>
      <c r="H56" s="115"/>
      <c r="I56" s="115"/>
      <c r="J56" s="71"/>
    </row>
    <row r="57" spans="1:13" ht="19.95" hidden="1" customHeight="1">
      <c r="B57" s="112" t="s">
        <v>42</v>
      </c>
      <c r="C57" s="112" t="s">
        <v>13</v>
      </c>
      <c r="D57" s="112" t="s">
        <v>14</v>
      </c>
      <c r="E57" s="113" t="s">
        <v>22</v>
      </c>
      <c r="F57" s="113" t="s">
        <v>15</v>
      </c>
      <c r="G57" s="176" t="s">
        <v>16</v>
      </c>
      <c r="H57" s="115"/>
      <c r="I57" s="115"/>
      <c r="J57" s="71"/>
    </row>
    <row r="58" spans="1:13" ht="19.95" hidden="1" customHeight="1">
      <c r="B58" s="124" t="s">
        <v>23</v>
      </c>
      <c r="C58" s="117" t="s">
        <v>91</v>
      </c>
      <c r="D58" s="333" t="s">
        <v>82</v>
      </c>
      <c r="E58" s="117">
        <v>0.75</v>
      </c>
      <c r="F58" s="106">
        <v>0</v>
      </c>
      <c r="G58" s="116">
        <f>SUMIF($C4:$C29,"คุณนิมิต จุ้ยอยู่ทอง",$H4:$H29)*E58</f>
        <v>3406.5450000000001</v>
      </c>
      <c r="H58" s="118"/>
      <c r="I58" s="115"/>
      <c r="J58" s="71"/>
    </row>
    <row r="59" spans="1:13" ht="19.95" hidden="1" customHeight="1">
      <c r="B59" s="126"/>
      <c r="C59" s="117" t="s">
        <v>91</v>
      </c>
      <c r="D59" s="333" t="s">
        <v>83</v>
      </c>
      <c r="E59" s="117">
        <v>0.75</v>
      </c>
      <c r="F59" s="106">
        <v>0</v>
      </c>
      <c r="G59" s="116">
        <f>SUMIF($C5:$C30,"คุณธวัช มีแสง",$H5:$H30)*E59</f>
        <v>0</v>
      </c>
      <c r="H59" s="118"/>
      <c r="I59" s="115"/>
      <c r="J59" s="71"/>
    </row>
    <row r="60" spans="1:13" ht="19.95" hidden="1" customHeight="1">
      <c r="B60" s="126"/>
      <c r="C60" s="117" t="s">
        <v>91</v>
      </c>
      <c r="D60" s="333" t="s">
        <v>84</v>
      </c>
      <c r="E60" s="117">
        <v>0.75</v>
      </c>
      <c r="F60" s="106">
        <v>0</v>
      </c>
      <c r="G60" s="116">
        <f>SUMIF($C5:$C29,"คุณแดง มูลสองแคว",$H5:$H29)*E60</f>
        <v>0</v>
      </c>
      <c r="H60" s="118"/>
      <c r="I60" s="115"/>
      <c r="J60" s="71"/>
    </row>
    <row r="61" spans="1:13" ht="19.95" hidden="1" customHeight="1">
      <c r="B61" s="126"/>
      <c r="C61" s="117" t="s">
        <v>17</v>
      </c>
      <c r="D61" s="338" t="s">
        <v>85</v>
      </c>
      <c r="E61" s="117">
        <v>0.75</v>
      </c>
      <c r="F61" s="106">
        <v>0</v>
      </c>
      <c r="G61" s="116">
        <f>SUMIF($C7:$C32,"คุณนิยนต์ อยู่ทะเล",$H7:$H32)*E61</f>
        <v>0</v>
      </c>
      <c r="H61" s="118"/>
      <c r="I61" s="115"/>
      <c r="J61" s="71"/>
    </row>
    <row r="62" spans="1:13" ht="19.95" hidden="1" customHeight="1">
      <c r="B62" s="126"/>
      <c r="C62" s="184" t="s">
        <v>91</v>
      </c>
      <c r="D62" s="339" t="s">
        <v>78</v>
      </c>
      <c r="E62" s="117">
        <v>0.75</v>
      </c>
      <c r="F62" s="106">
        <v>0</v>
      </c>
      <c r="G62" s="116">
        <f>SUMIF($C8:$C33,"คุณรุ่งอรุณ อินบุญรอด",$H8:$H33)*E62</f>
        <v>0</v>
      </c>
      <c r="H62" s="118"/>
      <c r="I62" s="115"/>
      <c r="J62" s="71"/>
    </row>
    <row r="63" spans="1:13" ht="19.95" hidden="1" customHeight="1">
      <c r="B63" s="125"/>
      <c r="C63" s="117" t="s">
        <v>91</v>
      </c>
      <c r="D63" s="339" t="s">
        <v>79</v>
      </c>
      <c r="E63" s="117">
        <v>0.75</v>
      </c>
      <c r="F63" s="106">
        <v>0</v>
      </c>
      <c r="G63" s="116">
        <f>SUMIF($C9:$C34,"คุณศศินาถ จุ้ยอยู่ทอง",$H9:$H34)*E63</f>
        <v>0</v>
      </c>
      <c r="H63" s="118"/>
      <c r="I63" s="115"/>
      <c r="J63" s="71"/>
    </row>
    <row r="64" spans="1:13" ht="19.95" hidden="1" customHeight="1">
      <c r="B64" s="125"/>
      <c r="C64" s="358" t="s">
        <v>91</v>
      </c>
      <c r="D64" s="359" t="s">
        <v>103</v>
      </c>
      <c r="E64" s="117">
        <v>0.75</v>
      </c>
      <c r="F64" s="106">
        <v>0</v>
      </c>
      <c r="G64" s="116">
        <f>SUMIF($C10:$C35,"คุณณรงศ์ศักย์ เหล่ารัตนเวช",$H10:$H35)*E64</f>
        <v>0</v>
      </c>
      <c r="H64" s="118"/>
      <c r="I64" s="115"/>
      <c r="J64" s="71"/>
    </row>
    <row r="65" spans="2:10" ht="19.95" hidden="1" customHeight="1">
      <c r="B65" s="125"/>
      <c r="C65" s="117" t="s">
        <v>91</v>
      </c>
      <c r="D65" s="333" t="s">
        <v>81</v>
      </c>
      <c r="E65" s="117">
        <v>0.75</v>
      </c>
      <c r="F65" s="106">
        <v>0</v>
      </c>
      <c r="G65" s="116">
        <f>SUMIF($C11:$C36,"คุณธัญลักษณ์ หมื่นหลุบกุง",$H11:$H36)*E65</f>
        <v>0</v>
      </c>
      <c r="H65" s="118"/>
      <c r="I65" s="115"/>
      <c r="J65" s="71"/>
    </row>
    <row r="66" spans="2:10" ht="19.95" hidden="1" customHeight="1">
      <c r="B66" s="119" t="s">
        <v>71</v>
      </c>
      <c r="C66" s="117" t="s">
        <v>91</v>
      </c>
      <c r="D66" s="333" t="s">
        <v>83</v>
      </c>
      <c r="E66" s="117">
        <v>0.05</v>
      </c>
      <c r="F66" s="106">
        <v>0</v>
      </c>
      <c r="G66" s="116">
        <f>$H$29*E66</f>
        <v>227.10300000000004</v>
      </c>
      <c r="H66" s="115"/>
      <c r="I66" s="115"/>
      <c r="J66" s="71"/>
    </row>
    <row r="67" spans="2:10" ht="19.95" hidden="1" customHeight="1">
      <c r="B67" s="119" t="s">
        <v>24</v>
      </c>
      <c r="C67" s="117" t="s">
        <v>72</v>
      </c>
      <c r="D67" s="333" t="s">
        <v>111</v>
      </c>
      <c r="E67" s="117">
        <v>0.12</v>
      </c>
      <c r="F67" s="106">
        <v>0</v>
      </c>
      <c r="G67" s="116">
        <f>$H$29*E67</f>
        <v>545.04719999999998</v>
      </c>
      <c r="H67" s="115"/>
      <c r="I67" s="129"/>
      <c r="J67" s="71"/>
    </row>
    <row r="68" spans="2:10" ht="19.95" hidden="1" customHeight="1">
      <c r="B68" s="119" t="s">
        <v>25</v>
      </c>
      <c r="C68" s="117" t="s">
        <v>72</v>
      </c>
      <c r="D68" s="333" t="s">
        <v>92</v>
      </c>
      <c r="E68" s="117">
        <v>0.08</v>
      </c>
      <c r="F68" s="106">
        <v>0</v>
      </c>
      <c r="G68" s="116">
        <f>$H$29*E68</f>
        <v>363.36480000000006</v>
      </c>
      <c r="H68" s="115"/>
      <c r="I68" s="115"/>
      <c r="J68" s="71"/>
    </row>
    <row r="69" spans="2:10" ht="21" hidden="1" customHeight="1">
      <c r="B69" s="74"/>
      <c r="C69" s="74"/>
      <c r="D69" s="75"/>
      <c r="E69" s="76"/>
      <c r="F69" s="73"/>
      <c r="G69" s="381">
        <f>SUM(G58:G68)</f>
        <v>4542.0600000000004</v>
      </c>
      <c r="H69" s="115"/>
      <c r="I69" s="71"/>
      <c r="J69" s="71"/>
    </row>
    <row r="70" spans="2:10" s="58" customFormat="1" ht="13.95" customHeight="1">
      <c r="E70" s="57"/>
      <c r="F70" s="57"/>
      <c r="G70" s="57"/>
      <c r="H70" s="115"/>
      <c r="I70" s="57"/>
    </row>
    <row r="71" spans="2:10" s="58" customFormat="1" ht="14.55" customHeight="1">
      <c r="E71" s="57"/>
      <c r="F71" s="57"/>
      <c r="G71" s="57"/>
      <c r="H71" s="115"/>
      <c r="I71" s="57"/>
    </row>
    <row r="72" spans="2:10" ht="13.8">
      <c r="H72" s="115"/>
    </row>
    <row r="73" spans="2:10" ht="13.95" customHeight="1">
      <c r="H73" s="115"/>
    </row>
    <row r="74" spans="2:10" ht="13.95" customHeight="1"/>
    <row r="75" spans="2:10" ht="13.95" customHeight="1"/>
    <row r="76" spans="2:10" ht="13.8"/>
    <row r="77" spans="2:10" ht="13.8"/>
    <row r="78" spans="2:10" ht="13.8"/>
    <row r="79" spans="2:10" ht="13.8"/>
    <row r="80" spans="2:1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95" customHeight="1"/>
    <row r="131" ht="13.95" customHeight="1"/>
    <row r="132" ht="13.95" customHeight="1"/>
    <row r="133" ht="13.95" customHeight="1"/>
    <row r="134" ht="13.95" customHeight="1"/>
    <row r="135" ht="13.95" customHeight="1"/>
    <row r="136" ht="13.95" customHeight="1"/>
    <row r="137" ht="13.95" customHeight="1"/>
    <row r="138" ht="13.95" customHeight="1"/>
    <row r="139" ht="13.95" customHeight="1"/>
    <row r="140" ht="13.95" customHeight="1"/>
    <row r="141" ht="13.95" customHeight="1"/>
    <row r="142" ht="13.95" customHeight="1"/>
    <row r="143" ht="13.95" customHeight="1"/>
    <row r="144" ht="13.95" customHeight="1"/>
    <row r="145" ht="13.95" customHeight="1"/>
    <row r="146" ht="13.95" customHeight="1"/>
    <row r="147" ht="13.95" customHeight="1"/>
    <row r="148" ht="13.95" customHeight="1"/>
    <row r="149" ht="13.95" customHeight="1"/>
    <row r="150" ht="13.95" customHeight="1"/>
    <row r="151" ht="13.95" customHeight="1"/>
    <row r="152" ht="13.95" customHeight="1"/>
    <row r="153" ht="13.95" customHeight="1"/>
    <row r="154" ht="13.95" customHeight="1"/>
    <row r="155" ht="13.95" customHeight="1"/>
    <row r="156" ht="13.95" customHeight="1"/>
    <row r="157" ht="13.95" customHeight="1"/>
    <row r="158" ht="13.95" customHeight="1"/>
    <row r="159" ht="13.95" customHeight="1"/>
    <row r="160" ht="13.95" customHeight="1"/>
    <row r="161" ht="13.95" customHeight="1"/>
    <row r="162" ht="13.95" customHeight="1"/>
    <row r="163" ht="13.95" customHeight="1"/>
    <row r="164" ht="13.95" customHeight="1"/>
    <row r="165" ht="13.95" customHeight="1"/>
    <row r="166" ht="13.95" customHeight="1"/>
    <row r="167" ht="13.95" customHeight="1"/>
    <row r="168" ht="13.95" customHeight="1"/>
    <row r="169" ht="13.95" customHeight="1"/>
    <row r="170" ht="13.95" customHeight="1"/>
    <row r="171" ht="13.95" customHeight="1"/>
    <row r="172" ht="13.95" customHeight="1"/>
    <row r="173" ht="13.95" customHeight="1"/>
    <row r="174" ht="13.95" customHeight="1"/>
    <row r="175" ht="13.95" customHeight="1"/>
    <row r="176" ht="13.95" customHeight="1"/>
    <row r="177" ht="13.95" customHeight="1"/>
    <row r="178" ht="13.95" customHeight="1"/>
    <row r="179" ht="13.95" customHeight="1"/>
    <row r="180" ht="13.95" customHeight="1"/>
    <row r="181" ht="13.95" customHeight="1"/>
    <row r="182" ht="13.95" customHeight="1"/>
    <row r="183" ht="13.95" customHeight="1"/>
    <row r="184" ht="13.95" customHeight="1"/>
    <row r="185" ht="13.95" customHeight="1"/>
    <row r="186" ht="13.95" customHeight="1"/>
    <row r="187" ht="13.95" customHeight="1"/>
    <row r="188" ht="13.95" customHeight="1"/>
    <row r="189" ht="13.95" customHeight="1"/>
    <row r="190" ht="13.95" customHeight="1"/>
    <row r="191" ht="13.95" customHeight="1"/>
    <row r="192" ht="13.95" customHeight="1"/>
    <row r="193" ht="13.95" customHeight="1"/>
    <row r="194" ht="13.95" customHeight="1"/>
    <row r="195" ht="13.95" customHeight="1"/>
    <row r="196" ht="13.95" customHeight="1"/>
    <row r="197" ht="13.95" customHeight="1"/>
    <row r="198" ht="13.95" customHeight="1"/>
    <row r="199" ht="13.95" customHeight="1"/>
    <row r="200" ht="13.95" customHeight="1"/>
    <row r="201" ht="13.95" customHeight="1"/>
    <row r="202" ht="13.95" customHeight="1"/>
    <row r="203" ht="13.95" customHeight="1"/>
    <row r="204" ht="13.95" customHeight="1"/>
    <row r="205" ht="13.95" customHeight="1"/>
    <row r="206" ht="13.95" customHeight="1"/>
    <row r="207" ht="13.95" customHeight="1"/>
    <row r="208" ht="13.95" customHeight="1"/>
    <row r="209" ht="13.95" customHeight="1"/>
    <row r="210" ht="13.95" customHeight="1"/>
    <row r="211" ht="13.95" customHeight="1"/>
    <row r="212" ht="13.95" customHeight="1"/>
    <row r="213" ht="13.95" customHeight="1"/>
    <row r="214" ht="13.95" customHeight="1"/>
    <row r="215" ht="13.95" customHeight="1"/>
    <row r="216" ht="13.95" customHeight="1"/>
    <row r="217" ht="13.95" customHeight="1"/>
    <row r="218" ht="13.95" customHeight="1"/>
    <row r="219" ht="13.95" customHeight="1"/>
    <row r="220" ht="13.95" customHeight="1"/>
    <row r="221" ht="13.95" customHeight="1"/>
    <row r="222" ht="13.95" customHeight="1"/>
    <row r="223" ht="13.95" customHeight="1"/>
    <row r="224" ht="13.95" customHeight="1"/>
    <row r="225" ht="13.95" customHeight="1"/>
    <row r="226" ht="13.95" customHeight="1"/>
    <row r="227" ht="13.95" customHeight="1"/>
    <row r="228" ht="13.95" customHeight="1"/>
    <row r="229" ht="13.95" customHeight="1"/>
    <row r="230" ht="13.95" customHeight="1"/>
    <row r="231" ht="13.95" customHeight="1"/>
    <row r="232" ht="13.95" customHeight="1"/>
    <row r="233" ht="13.95" customHeight="1"/>
    <row r="234" ht="13.95" customHeight="1"/>
    <row r="235" ht="13.95" customHeight="1"/>
    <row r="236" ht="13.95" customHeight="1"/>
    <row r="237" ht="13.95" customHeight="1"/>
    <row r="238" ht="13.95" customHeight="1"/>
    <row r="239" ht="13.95" customHeight="1"/>
    <row r="240" ht="13.95" customHeight="1"/>
    <row r="241" ht="13.95" customHeight="1"/>
    <row r="242" ht="13.95" customHeight="1"/>
    <row r="243" ht="13.95" customHeight="1"/>
    <row r="244" ht="13.95" customHeight="1"/>
    <row r="245" ht="13.95" customHeight="1"/>
    <row r="246" ht="13.95" customHeight="1"/>
    <row r="247" ht="13.95" customHeight="1"/>
    <row r="248" ht="13.95" customHeight="1"/>
    <row r="249" ht="13.95" customHeight="1"/>
    <row r="250" ht="13.95" customHeight="1"/>
    <row r="251" ht="13.95" customHeight="1"/>
    <row r="252" ht="13.95" customHeight="1"/>
    <row r="253" ht="13.95" customHeight="1"/>
    <row r="254" ht="13.95" customHeight="1"/>
    <row r="255" ht="13.95" customHeight="1"/>
    <row r="256" ht="13.95" customHeight="1"/>
    <row r="257" ht="13.95" customHeight="1"/>
    <row r="258" ht="13.95" customHeight="1"/>
    <row r="259" ht="13.95" customHeight="1"/>
    <row r="260" ht="13.95" customHeight="1"/>
    <row r="261" ht="13.95" customHeight="1"/>
    <row r="262" ht="13.95" customHeight="1"/>
    <row r="263" ht="13.95" customHeight="1"/>
    <row r="264" ht="13.95" customHeight="1"/>
    <row r="265" ht="13.95" customHeight="1"/>
    <row r="266" ht="13.95" customHeight="1"/>
    <row r="267" ht="13.95" customHeight="1"/>
    <row r="268" ht="13.95" customHeight="1"/>
    <row r="269" ht="13.95" customHeight="1"/>
    <row r="270" ht="13.95" customHeight="1"/>
    <row r="271" ht="13.95" customHeight="1"/>
    <row r="272" ht="13.95" customHeight="1"/>
    <row r="273" ht="13.95" customHeight="1"/>
    <row r="274" ht="13.95" customHeight="1"/>
    <row r="275" ht="13.95" customHeight="1"/>
    <row r="276" ht="13.95" customHeight="1"/>
    <row r="277" ht="13.95" customHeight="1"/>
    <row r="278" ht="13.95" customHeight="1"/>
    <row r="279" ht="13.95" customHeight="1"/>
    <row r="280" ht="13.95" customHeight="1"/>
    <row r="281" ht="13.95" customHeight="1"/>
    <row r="282" ht="13.95" customHeight="1"/>
    <row r="283" ht="13.95" customHeight="1"/>
    <row r="284" ht="13.95" customHeight="1"/>
    <row r="285" ht="13.95" customHeight="1"/>
    <row r="286" ht="13.95" customHeight="1"/>
    <row r="287" ht="13.95" customHeight="1"/>
  </sheetData>
  <mergeCells count="9">
    <mergeCell ref="B32:M33"/>
    <mergeCell ref="A1:H1"/>
    <mergeCell ref="A2:H2"/>
    <mergeCell ref="B5:B12"/>
    <mergeCell ref="B13:B20"/>
    <mergeCell ref="B21:B28"/>
    <mergeCell ref="D5:D12"/>
    <mergeCell ref="D13:D20"/>
    <mergeCell ref="D21:D28"/>
  </mergeCells>
  <printOptions horizontalCentered="1"/>
  <pageMargins left="0.27559055118110198" right="0.196850393700787" top="0.43307086614173201" bottom="0.35433070866141703" header="0.43307086614173201" footer="0"/>
  <pageSetup paperSize="9" scale="54" orientation="landscape" r:id="rId1"/>
  <ignoredErrors>
    <ignoredError sqref="H8 G9:H9 H10 G12:H12 G17:H17 G13:H13 G14:H14 G15:H15 G16:H16 G20:H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Ref</vt:lpstr>
      <vt:lpstr>คอมฯ  CN</vt:lpstr>
      <vt:lpstr>สรุปยอดเบิก CN</vt:lpstr>
      <vt:lpstr>คอมฯ CBN</vt:lpstr>
      <vt:lpstr>สรุปยอดเบิก CBN</vt:lpstr>
      <vt:lpstr>'คอมฯ  CN'!Print_Area</vt:lpstr>
      <vt:lpstr>'คอมฯ CBN'!Print_Area</vt:lpstr>
      <vt:lpstr>'สรุปยอดเบิก CBN'!Print_Area</vt:lpstr>
      <vt:lpstr>'สรุปยอดเบิก CN'!Print_Area</vt:lpstr>
      <vt:lpstr>'คอมฯ  CN'!Print_Titles</vt:lpstr>
      <vt:lpstr>'คอมฯ CBN'!Print_Titles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Chantrapprn</dc:creator>
  <cp:lastModifiedBy>Admin</cp:lastModifiedBy>
  <cp:lastPrinted>2024-09-04T08:53:40Z</cp:lastPrinted>
  <dcterms:created xsi:type="dcterms:W3CDTF">2022-04-03T17:11:16Z</dcterms:created>
  <dcterms:modified xsi:type="dcterms:W3CDTF">2024-11-01T07:54:46Z</dcterms:modified>
</cp:coreProperties>
</file>